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teratur\FU\Moduli  i FU-së\dokumentacioni\"/>
    </mc:Choice>
  </mc:AlternateContent>
  <workbookProtection workbookPassword="DD5B" lockStructure="1"/>
  <bookViews>
    <workbookView showSheetTabs="0" xWindow="480" yWindow="90" windowWidth="11340" windowHeight="8070" tabRatio="954" activeTab="14"/>
  </bookViews>
  <sheets>
    <sheet name="Permbajtja" sheetId="1" r:id="rId1"/>
    <sheet name="Shenime" sheetId="2" r:id="rId2"/>
    <sheet name="Janar" sheetId="3" r:id="rId3"/>
    <sheet name="Shkurt" sheetId="4" r:id="rId4"/>
    <sheet name="Mars" sheetId="5" r:id="rId5"/>
    <sheet name="Prill" sheetId="6" r:id="rId6"/>
    <sheet name="Maj" sheetId="7" r:id="rId7"/>
    <sheet name="Qershor" sheetId="8" r:id="rId8"/>
    <sheet name="Korrik" sheetId="9" r:id="rId9"/>
    <sheet name="Gusht" sheetId="10" r:id="rId10"/>
    <sheet name="Shtator" sheetId="11" r:id="rId11"/>
    <sheet name="Tetor" sheetId="12" r:id="rId12"/>
    <sheet name="Nentor" sheetId="13" r:id="rId13"/>
    <sheet name="Dhjetor" sheetId="14" r:id="rId14"/>
    <sheet name="Fletepagesa" sheetId="15" r:id="rId15"/>
    <sheet name="Banka" sheetId="16" r:id="rId16"/>
    <sheet name="Raporti tremujor i kontributeve" sheetId="17" r:id="rId17"/>
    <sheet name="Taksat dhe klasifikimi i pagave" sheetId="18" r:id="rId18"/>
    <sheet name="Liste-Pagesa vjetore" sheetId="19" r:id="rId19"/>
    <sheet name="Libri i kontr. dhe tatimeve" sheetId="20" r:id="rId20"/>
    <sheet name="Certificate" sheetId="21" r:id="rId21"/>
    <sheet name="Shtese" sheetId="22" r:id="rId22"/>
    <sheet name="Ndihme" sheetId="23" r:id="rId23"/>
    <sheet name="Autori" sheetId="24" r:id="rId24"/>
  </sheets>
  <definedNames>
    <definedName name="_xlnm._FilterDatabase" localSheetId="15" hidden="1">Banka!$J$10:$J$20</definedName>
    <definedName name="_xlnm._FilterDatabase" localSheetId="13" hidden="1">Dhjetor!$E$10:$F$20</definedName>
    <definedName name="_xlnm._FilterDatabase" localSheetId="9" hidden="1">Gusht!$E$10:$F$20</definedName>
    <definedName name="_xlnm._FilterDatabase" localSheetId="2" hidden="1">Janar!$E$10:$F$21</definedName>
    <definedName name="_xlnm._FilterDatabase" localSheetId="8" hidden="1">Korrik!$E$10:$F$20</definedName>
    <definedName name="_xlnm._FilterDatabase" localSheetId="18" hidden="1">'Liste-Pagesa vjetore'!$E$10:$E$20</definedName>
    <definedName name="_xlnm._FilterDatabase" localSheetId="6" hidden="1">Maj!$E$10:$F$20</definedName>
    <definedName name="_xlnm._FilterDatabase" localSheetId="4" hidden="1">Mars!$E$10:$F$20</definedName>
    <definedName name="_xlnm._FilterDatabase" localSheetId="12" hidden="1">Nentor!$E$10:$F$20</definedName>
    <definedName name="_xlnm._FilterDatabase" localSheetId="5" hidden="1">Prill!$E$10:$F$20</definedName>
    <definedName name="_xlnm._FilterDatabase" localSheetId="7" hidden="1">Qershor!$E$10:$F$20</definedName>
    <definedName name="_xlnm._FilterDatabase" localSheetId="16" hidden="1">'Raporti tremujor i kontributeve'!$H$10:$H$20</definedName>
    <definedName name="_xlnm._FilterDatabase" localSheetId="3" hidden="1">Shkurt!$E$10:$F$20</definedName>
    <definedName name="_xlnm._FilterDatabase" localSheetId="10" hidden="1">Shtator!$E$10:$F$20</definedName>
    <definedName name="_xlnm._FilterDatabase" localSheetId="11" hidden="1">Tetor!$E$10:$F$20</definedName>
    <definedName name="Dhjetor">Dhjetor!$C$11:$X$20</definedName>
    <definedName name="Gusht">Gusht!$C$11:$X$20</definedName>
    <definedName name="Janar">Janar!$C$11:$X$21</definedName>
    <definedName name="Korrik">Korrik!$C$11:$X$20</definedName>
    <definedName name="Maj">Maj!$C$11:$X$20</definedName>
    <definedName name="Mars">Mars!$C$11:$X$20</definedName>
    <definedName name="Nentor">Nentor!$C$11:$X$20</definedName>
    <definedName name="Pagesa">'Libri i kontr. dhe tatimeve'!$B$10:$O$21</definedName>
    <definedName name="Personale">Shenime!$B$11:$H$20</definedName>
    <definedName name="Prill">Prill!$C$11:$X$20</definedName>
    <definedName name="_xlnm.Print_Area" localSheetId="15">Banka!$E$2:$J$29</definedName>
    <definedName name="_xlnm.Print_Area" localSheetId="20">Certificate!$A$2:$R$32</definedName>
    <definedName name="_xlnm.Print_Area" localSheetId="13">Dhjetor!$C$2:$X$26</definedName>
    <definedName name="_xlnm.Print_Area" localSheetId="14">Fletepagesa!$A$2:$I$62</definedName>
    <definedName name="_xlnm.Print_Area" localSheetId="9">Gusht!$C$2:$X$26</definedName>
    <definedName name="_xlnm.Print_Area" localSheetId="2">Janar!$C$2:$X$27</definedName>
    <definedName name="_xlnm.Print_Area" localSheetId="8">Korrik!$C$2:$X$26</definedName>
    <definedName name="_xlnm.Print_Area" localSheetId="19">'Libri i kontr. dhe tatimeve'!$B$2:$O$29</definedName>
    <definedName name="_xlnm.Print_Area" localSheetId="18">'Liste-Pagesa vjetore'!$B$2:$J$27</definedName>
    <definedName name="_xlnm.Print_Area" localSheetId="6">Maj!$C$2:$X$26</definedName>
    <definedName name="_xlnm.Print_Area" localSheetId="4">Mars!$C$2:$X$26</definedName>
    <definedName name="_xlnm.Print_Area" localSheetId="22">Ndihme!$A$2:$A$47</definedName>
    <definedName name="_xlnm.Print_Area" localSheetId="12">Nentor!$C$2:$X$26</definedName>
    <definedName name="_xlnm.Print_Area" localSheetId="0">Permbajtja!$A$1:$H$31</definedName>
    <definedName name="_xlnm.Print_Area" localSheetId="5">Prill!$C$2:$X$26</definedName>
    <definedName name="_xlnm.Print_Area" localSheetId="7">Qershor!$C$2:$X$26</definedName>
    <definedName name="_xlnm.Print_Area" localSheetId="16">'Raporti tremujor i kontributeve'!$E$2:$K$29</definedName>
    <definedName name="_xlnm.Print_Area" localSheetId="1">Shenime!$B$2:$H$20</definedName>
    <definedName name="_xlnm.Print_Area" localSheetId="3">Shkurt!$C$2:$X$26</definedName>
    <definedName name="_xlnm.Print_Area" localSheetId="10">Shtator!$C$2:$X$26</definedName>
    <definedName name="_xlnm.Print_Area" localSheetId="17">'Taksat dhe klasifikimi i pagave'!$B$2:$L$23</definedName>
    <definedName name="_xlnm.Print_Area" localSheetId="11">Tetor!$C$2:$X$26</definedName>
    <definedName name="_xlnm.Print_Titles" localSheetId="15">Banka!$2:$10</definedName>
    <definedName name="_xlnm.Print_Titles" localSheetId="13">Dhjetor!$2:$10</definedName>
    <definedName name="_xlnm.Print_Titles" localSheetId="9">Gusht!$2:$10</definedName>
    <definedName name="_xlnm.Print_Titles" localSheetId="2">Janar!$2:$10</definedName>
    <definedName name="_xlnm.Print_Titles" localSheetId="8">Korrik!$2:$10</definedName>
    <definedName name="_xlnm.Print_Titles" localSheetId="18">'Liste-Pagesa vjetore'!$2:$10</definedName>
    <definedName name="_xlnm.Print_Titles" localSheetId="6">Maj!$2:$10</definedName>
    <definedName name="_xlnm.Print_Titles" localSheetId="4">Mars!$2:$10</definedName>
    <definedName name="_xlnm.Print_Titles" localSheetId="12">Nentor!$2:$10</definedName>
    <definedName name="_xlnm.Print_Titles" localSheetId="5">Prill!$2:$10</definedName>
    <definedName name="_xlnm.Print_Titles" localSheetId="7">Qershor!$2:$10</definedName>
    <definedName name="_xlnm.Print_Titles" localSheetId="16">'Raporti tremujor i kontributeve'!$2:$10</definedName>
    <definedName name="_xlnm.Print_Titles" localSheetId="1">Shenime!$2:$10</definedName>
    <definedName name="_xlnm.Print_Titles" localSheetId="3">Shkurt!$2:$10</definedName>
    <definedName name="_xlnm.Print_Titles" localSheetId="10">Shtator!$2:$10</definedName>
    <definedName name="_xlnm.Print_Titles" localSheetId="11">Tetor!$2:$10</definedName>
    <definedName name="Qershor">Qershor!$C$11:$X$20</definedName>
    <definedName name="Shkurt">Shkurt!$C$11:$X$20</definedName>
    <definedName name="Shtator">Shtator!$C$11:$X$20</definedName>
    <definedName name="Tetor">Tetor!$C$11:$X$20</definedName>
    <definedName name="Vjetore">'Liste-Pagesa vjetore'!$B$11:$J$20</definedName>
    <definedName name="Z_09AFD497_C868_4385_9AB3_7F1632F55388_.wvu.Cols" localSheetId="15" hidden="1">Banka!$M:$M</definedName>
    <definedName name="Z_09AFD497_C868_4385_9AB3_7F1632F55388_.wvu.Cols" localSheetId="13" hidden="1">Dhjetor!$N:$T</definedName>
    <definedName name="Z_09AFD497_C868_4385_9AB3_7F1632F55388_.wvu.Cols" localSheetId="9" hidden="1">Gusht!$N:$T</definedName>
    <definedName name="Z_09AFD497_C868_4385_9AB3_7F1632F55388_.wvu.Cols" localSheetId="2" hidden="1">Janar!$N:$T</definedName>
    <definedName name="Z_09AFD497_C868_4385_9AB3_7F1632F55388_.wvu.Cols" localSheetId="8" hidden="1">Korrik!$N:$T</definedName>
    <definedName name="Z_09AFD497_C868_4385_9AB3_7F1632F55388_.wvu.Cols" localSheetId="6" hidden="1">Maj!$N:$T</definedName>
    <definedName name="Z_09AFD497_C868_4385_9AB3_7F1632F55388_.wvu.Cols" localSheetId="4" hidden="1">Mars!$N:$T</definedName>
    <definedName name="Z_09AFD497_C868_4385_9AB3_7F1632F55388_.wvu.Cols" localSheetId="12" hidden="1">Nentor!$N:$T</definedName>
    <definedName name="Z_09AFD497_C868_4385_9AB3_7F1632F55388_.wvu.Cols" localSheetId="5" hidden="1">Prill!$N:$T</definedName>
    <definedName name="Z_09AFD497_C868_4385_9AB3_7F1632F55388_.wvu.Cols" localSheetId="7" hidden="1">Qershor!$N:$T</definedName>
    <definedName name="Z_09AFD497_C868_4385_9AB3_7F1632F55388_.wvu.Cols" localSheetId="16" hidden="1">'Raporti tremujor i kontributeve'!$N:$N</definedName>
    <definedName name="Z_09AFD497_C868_4385_9AB3_7F1632F55388_.wvu.Cols" localSheetId="3" hidden="1">Shkurt!$N:$T</definedName>
    <definedName name="Z_09AFD497_C868_4385_9AB3_7F1632F55388_.wvu.Cols" localSheetId="10" hidden="1">Shtator!$N:$T</definedName>
    <definedName name="Z_09AFD497_C868_4385_9AB3_7F1632F55388_.wvu.Cols" localSheetId="11" hidden="1">Tetor!$N:$T</definedName>
    <definedName name="Z_09AFD497_C868_4385_9AB3_7F1632F55388_.wvu.FilterData" localSheetId="15" hidden="1">Banka!$F$10:$J$20</definedName>
    <definedName name="Z_09AFD497_C868_4385_9AB3_7F1632F55388_.wvu.FilterData" localSheetId="13" hidden="1">Dhjetor!$E$10:$F$10</definedName>
    <definedName name="Z_09AFD497_C868_4385_9AB3_7F1632F55388_.wvu.FilterData" localSheetId="9" hidden="1">Gusht!$E$10:$F$20</definedName>
    <definedName name="Z_09AFD497_C868_4385_9AB3_7F1632F55388_.wvu.FilterData" localSheetId="2" hidden="1">Janar!$E$10:$F$21</definedName>
    <definedName name="Z_09AFD497_C868_4385_9AB3_7F1632F55388_.wvu.FilterData" localSheetId="8" hidden="1">Korrik!$E$10:$F$20</definedName>
    <definedName name="Z_09AFD497_C868_4385_9AB3_7F1632F55388_.wvu.FilterData" localSheetId="6" hidden="1">Maj!$E$10:$F$20</definedName>
    <definedName name="Z_09AFD497_C868_4385_9AB3_7F1632F55388_.wvu.FilterData" localSheetId="4" hidden="1">Mars!$E$10:$F$20</definedName>
    <definedName name="Z_09AFD497_C868_4385_9AB3_7F1632F55388_.wvu.FilterData" localSheetId="12" hidden="1">Nentor!$E$10:$F$20</definedName>
    <definedName name="Z_09AFD497_C868_4385_9AB3_7F1632F55388_.wvu.FilterData" localSheetId="5" hidden="1">Prill!$E$10:$F$20</definedName>
    <definedName name="Z_09AFD497_C868_4385_9AB3_7F1632F55388_.wvu.FilterData" localSheetId="7" hidden="1">Qershor!$E$10:$F$20</definedName>
    <definedName name="Z_09AFD497_C868_4385_9AB3_7F1632F55388_.wvu.FilterData" localSheetId="16" hidden="1">'Raporti tremujor i kontributeve'!$F$10:$K$20</definedName>
    <definedName name="Z_09AFD497_C868_4385_9AB3_7F1632F55388_.wvu.FilterData" localSheetId="3" hidden="1">Shkurt!$E$10:$F$20</definedName>
    <definedName name="Z_09AFD497_C868_4385_9AB3_7F1632F55388_.wvu.FilterData" localSheetId="10" hidden="1">Shtator!$E$10:$F$20</definedName>
    <definedName name="Z_09AFD497_C868_4385_9AB3_7F1632F55388_.wvu.FilterData" localSheetId="11" hidden="1">Tetor!$E$10:$F$20</definedName>
    <definedName name="Z_09AFD497_C868_4385_9AB3_7F1632F55388_.wvu.PrintArea" localSheetId="15" hidden="1">Banka!$E$2:$J$29</definedName>
    <definedName name="Z_09AFD497_C868_4385_9AB3_7F1632F55388_.wvu.PrintArea" localSheetId="13" hidden="1">Dhjetor!$C$2:$X$26</definedName>
    <definedName name="Z_09AFD497_C868_4385_9AB3_7F1632F55388_.wvu.PrintArea" localSheetId="9" hidden="1">Gusht!$C$2:$X$26</definedName>
    <definedName name="Z_09AFD497_C868_4385_9AB3_7F1632F55388_.wvu.PrintArea" localSheetId="2" hidden="1">Janar!$C$2:$X$27</definedName>
    <definedName name="Z_09AFD497_C868_4385_9AB3_7F1632F55388_.wvu.PrintArea" localSheetId="8" hidden="1">Korrik!$C$2:$X$26</definedName>
    <definedName name="Z_09AFD497_C868_4385_9AB3_7F1632F55388_.wvu.PrintArea" localSheetId="19" hidden="1">'Libri i kontr. dhe tatimeve'!$B$2:$O$29</definedName>
    <definedName name="Z_09AFD497_C868_4385_9AB3_7F1632F55388_.wvu.PrintArea" localSheetId="18" hidden="1">'Liste-Pagesa vjetore'!$B$2:$J$27</definedName>
    <definedName name="Z_09AFD497_C868_4385_9AB3_7F1632F55388_.wvu.PrintArea" localSheetId="6" hidden="1">Maj!$C$2:$X$26</definedName>
    <definedName name="Z_09AFD497_C868_4385_9AB3_7F1632F55388_.wvu.PrintArea" localSheetId="4" hidden="1">Mars!$C$2:$X$26</definedName>
    <definedName name="Z_09AFD497_C868_4385_9AB3_7F1632F55388_.wvu.PrintArea" localSheetId="22" hidden="1">Ndihme!$B$2:$B$47</definedName>
    <definedName name="Z_09AFD497_C868_4385_9AB3_7F1632F55388_.wvu.PrintArea" localSheetId="12" hidden="1">Nentor!$C$2:$X$26</definedName>
    <definedName name="Z_09AFD497_C868_4385_9AB3_7F1632F55388_.wvu.PrintArea" localSheetId="0" hidden="1">Permbajtja!$A$2:$J$28</definedName>
    <definedName name="Z_09AFD497_C868_4385_9AB3_7F1632F55388_.wvu.PrintArea" localSheetId="5" hidden="1">Prill!$C$2:$X$26</definedName>
    <definedName name="Z_09AFD497_C868_4385_9AB3_7F1632F55388_.wvu.PrintArea" localSheetId="7" hidden="1">Qershor!$C$2:$X$26</definedName>
    <definedName name="Z_09AFD497_C868_4385_9AB3_7F1632F55388_.wvu.PrintArea" localSheetId="16" hidden="1">'Raporti tremujor i kontributeve'!$E$2:$K$29</definedName>
    <definedName name="Z_09AFD497_C868_4385_9AB3_7F1632F55388_.wvu.PrintArea" localSheetId="1" hidden="1">Shenime!$B$2:$H$20</definedName>
    <definedName name="Z_09AFD497_C868_4385_9AB3_7F1632F55388_.wvu.PrintArea" localSheetId="3" hidden="1">Shkurt!$C$2:$X$26</definedName>
    <definedName name="Z_09AFD497_C868_4385_9AB3_7F1632F55388_.wvu.PrintArea" localSheetId="10" hidden="1">Shtator!$C$2:$X$26</definedName>
    <definedName name="Z_09AFD497_C868_4385_9AB3_7F1632F55388_.wvu.PrintArea" localSheetId="17" hidden="1">'Taksat dhe klasifikimi i pagave'!$B$2:$L$23</definedName>
    <definedName name="Z_09AFD497_C868_4385_9AB3_7F1632F55388_.wvu.PrintArea" localSheetId="11" hidden="1">Tetor!$C$2:$X$26</definedName>
    <definedName name="Z_09AFD497_C868_4385_9AB3_7F1632F55388_.wvu.PrintTitles" localSheetId="13" hidden="1">Dhjetor!$2:$10</definedName>
    <definedName name="Z_09AFD497_C868_4385_9AB3_7F1632F55388_.wvu.PrintTitles" localSheetId="9" hidden="1">Gusht!$2:$10</definedName>
    <definedName name="Z_09AFD497_C868_4385_9AB3_7F1632F55388_.wvu.PrintTitles" localSheetId="2" hidden="1">Janar!$2:$10</definedName>
    <definedName name="Z_09AFD497_C868_4385_9AB3_7F1632F55388_.wvu.PrintTitles" localSheetId="8" hidden="1">Korrik!$2:$10</definedName>
    <definedName name="Z_09AFD497_C868_4385_9AB3_7F1632F55388_.wvu.PrintTitles" localSheetId="18" hidden="1">'Liste-Pagesa vjetore'!$2:$10</definedName>
    <definedName name="Z_09AFD497_C868_4385_9AB3_7F1632F55388_.wvu.PrintTitles" localSheetId="6" hidden="1">Maj!$2:$10</definedName>
    <definedName name="Z_09AFD497_C868_4385_9AB3_7F1632F55388_.wvu.PrintTitles" localSheetId="4" hidden="1">Mars!$2:$10</definedName>
    <definedName name="Z_09AFD497_C868_4385_9AB3_7F1632F55388_.wvu.PrintTitles" localSheetId="12" hidden="1">Nentor!$2:$10</definedName>
    <definedName name="Z_09AFD497_C868_4385_9AB3_7F1632F55388_.wvu.PrintTitles" localSheetId="5" hidden="1">Prill!$2:$10</definedName>
    <definedName name="Z_09AFD497_C868_4385_9AB3_7F1632F55388_.wvu.PrintTitles" localSheetId="7" hidden="1">Qershor!$2:$10</definedName>
    <definedName name="Z_09AFD497_C868_4385_9AB3_7F1632F55388_.wvu.PrintTitles" localSheetId="1" hidden="1">Shenime!$2:$10</definedName>
    <definedName name="Z_09AFD497_C868_4385_9AB3_7F1632F55388_.wvu.PrintTitles" localSheetId="3" hidden="1">Shkurt!$2:$10</definedName>
    <definedName name="Z_09AFD497_C868_4385_9AB3_7F1632F55388_.wvu.PrintTitles" localSheetId="10" hidden="1">Shtator!$2:$10</definedName>
    <definedName name="Z_09AFD497_C868_4385_9AB3_7F1632F55388_.wvu.PrintTitles" localSheetId="11" hidden="1">Tetor!$2:$10</definedName>
    <definedName name="Z_09AFD497_C868_4385_9AB3_7F1632F55388_.wvu.Rows" localSheetId="13" hidden="1">Dhjetor!$4:$4</definedName>
    <definedName name="Z_09AFD497_C868_4385_9AB3_7F1632F55388_.wvu.Rows" localSheetId="9" hidden="1">Gusht!$4:$4</definedName>
    <definedName name="Z_09AFD497_C868_4385_9AB3_7F1632F55388_.wvu.Rows" localSheetId="2" hidden="1">Janar!$4:$4</definedName>
    <definedName name="Z_09AFD497_C868_4385_9AB3_7F1632F55388_.wvu.Rows" localSheetId="8" hidden="1">Korrik!$4:$4</definedName>
    <definedName name="Z_09AFD497_C868_4385_9AB3_7F1632F55388_.wvu.Rows" localSheetId="18" hidden="1">'Liste-Pagesa vjetore'!$6:$7</definedName>
    <definedName name="Z_09AFD497_C868_4385_9AB3_7F1632F55388_.wvu.Rows" localSheetId="6" hidden="1">Maj!$4:$4</definedName>
    <definedName name="Z_09AFD497_C868_4385_9AB3_7F1632F55388_.wvu.Rows" localSheetId="4" hidden="1">Mars!$4:$4</definedName>
    <definedName name="Z_09AFD497_C868_4385_9AB3_7F1632F55388_.wvu.Rows" localSheetId="12" hidden="1">Nentor!$4:$4</definedName>
    <definedName name="Z_09AFD497_C868_4385_9AB3_7F1632F55388_.wvu.Rows" localSheetId="5" hidden="1">Prill!$4:$4</definedName>
    <definedName name="Z_09AFD497_C868_4385_9AB3_7F1632F55388_.wvu.Rows" localSheetId="7" hidden="1">Qershor!$4:$4</definedName>
    <definedName name="Z_09AFD497_C868_4385_9AB3_7F1632F55388_.wvu.Rows" localSheetId="3" hidden="1">Shkurt!$4:$4</definedName>
    <definedName name="Z_09AFD497_C868_4385_9AB3_7F1632F55388_.wvu.Rows" localSheetId="10" hidden="1">Shtator!$4:$4</definedName>
    <definedName name="Z_09AFD497_C868_4385_9AB3_7F1632F55388_.wvu.Rows" localSheetId="11" hidden="1">Tetor!$4:$4</definedName>
    <definedName name="Z_CE29130D_F54B_4517_B637_01D908CB90D3_.wvu.Cols" localSheetId="15" hidden="1">Banka!$B:$D,Banka!$K:$W</definedName>
    <definedName name="Z_CE29130D_F54B_4517_B637_01D908CB90D3_.wvu.Cols" localSheetId="13" hidden="1">Dhjetor!$N:$T</definedName>
    <definedName name="Z_CE29130D_F54B_4517_B637_01D908CB90D3_.wvu.Cols" localSheetId="14" hidden="1">Fletepagesa!$K:$K</definedName>
    <definedName name="Z_CE29130D_F54B_4517_B637_01D908CB90D3_.wvu.Cols" localSheetId="9" hidden="1">Gusht!$N:$T</definedName>
    <definedName name="Z_CE29130D_F54B_4517_B637_01D908CB90D3_.wvu.Cols" localSheetId="2" hidden="1">Janar!$N:$T</definedName>
    <definedName name="Z_CE29130D_F54B_4517_B637_01D908CB90D3_.wvu.Cols" localSheetId="8" hidden="1">Korrik!$N:$T</definedName>
    <definedName name="Z_CE29130D_F54B_4517_B637_01D908CB90D3_.wvu.Cols" localSheetId="19" hidden="1">'Libri i kontr. dhe tatimeve'!$C:$C,'Libri i kontr. dhe tatimeve'!$K:$K</definedName>
    <definedName name="Z_CE29130D_F54B_4517_B637_01D908CB90D3_.wvu.Cols" localSheetId="18" hidden="1">'Liste-Pagesa vjetore'!$G:$G</definedName>
    <definedName name="Z_CE29130D_F54B_4517_B637_01D908CB90D3_.wvu.Cols" localSheetId="6" hidden="1">Maj!$N:$T</definedName>
    <definedName name="Z_CE29130D_F54B_4517_B637_01D908CB90D3_.wvu.Cols" localSheetId="4" hidden="1">Mars!$N:$T</definedName>
    <definedName name="Z_CE29130D_F54B_4517_B637_01D908CB90D3_.wvu.Cols" localSheetId="12" hidden="1">Nentor!$N:$T</definedName>
    <definedName name="Z_CE29130D_F54B_4517_B637_01D908CB90D3_.wvu.Cols" localSheetId="5" hidden="1">Prill!$N:$T</definedName>
    <definedName name="Z_CE29130D_F54B_4517_B637_01D908CB90D3_.wvu.Cols" localSheetId="7" hidden="1">Qershor!$N:$T</definedName>
    <definedName name="Z_CE29130D_F54B_4517_B637_01D908CB90D3_.wvu.Cols" localSheetId="16" hidden="1">'Raporti tremujor i kontributeve'!$B:$D,'Raporti tremujor i kontributeve'!$N:$N</definedName>
    <definedName name="Z_CE29130D_F54B_4517_B637_01D908CB90D3_.wvu.Cols" localSheetId="3" hidden="1">Shkurt!$N:$T</definedName>
    <definedName name="Z_CE29130D_F54B_4517_B637_01D908CB90D3_.wvu.Cols" localSheetId="10" hidden="1">Shtator!$N:$T</definedName>
    <definedName name="Z_CE29130D_F54B_4517_B637_01D908CB90D3_.wvu.Cols" localSheetId="21" hidden="1">Shtese!$N:$N</definedName>
    <definedName name="Z_CE29130D_F54B_4517_B637_01D908CB90D3_.wvu.Cols" localSheetId="11" hidden="1">Tetor!$N:$T</definedName>
    <definedName name="Z_CE29130D_F54B_4517_B637_01D908CB90D3_.wvu.FilterData" localSheetId="15" hidden="1">Banka!$J$10:$J$20</definedName>
    <definedName name="Z_CE29130D_F54B_4517_B637_01D908CB90D3_.wvu.FilterData" localSheetId="13" hidden="1">Dhjetor!$E$10:$F$20</definedName>
    <definedName name="Z_CE29130D_F54B_4517_B637_01D908CB90D3_.wvu.FilterData" localSheetId="9" hidden="1">Gusht!$E$10:$F$20</definedName>
    <definedName name="Z_CE29130D_F54B_4517_B637_01D908CB90D3_.wvu.FilterData" localSheetId="2" hidden="1">Janar!$E$10:$F$21</definedName>
    <definedName name="Z_CE29130D_F54B_4517_B637_01D908CB90D3_.wvu.FilterData" localSheetId="8" hidden="1">Korrik!$E$10:$F$20</definedName>
    <definedName name="Z_CE29130D_F54B_4517_B637_01D908CB90D3_.wvu.FilterData" localSheetId="18" hidden="1">'Liste-Pagesa vjetore'!$E$10:$E$20</definedName>
    <definedName name="Z_CE29130D_F54B_4517_B637_01D908CB90D3_.wvu.FilterData" localSheetId="6" hidden="1">Maj!$E$10:$F$20</definedName>
    <definedName name="Z_CE29130D_F54B_4517_B637_01D908CB90D3_.wvu.FilterData" localSheetId="4" hidden="1">Mars!$E$10:$F$20</definedName>
    <definedName name="Z_CE29130D_F54B_4517_B637_01D908CB90D3_.wvu.FilterData" localSheetId="12" hidden="1">Nentor!$E$10:$F$20</definedName>
    <definedName name="Z_CE29130D_F54B_4517_B637_01D908CB90D3_.wvu.FilterData" localSheetId="5" hidden="1">Prill!$E$10:$F$20</definedName>
    <definedName name="Z_CE29130D_F54B_4517_B637_01D908CB90D3_.wvu.FilterData" localSheetId="7" hidden="1">Qershor!$E$10:$F$20</definedName>
    <definedName name="Z_CE29130D_F54B_4517_B637_01D908CB90D3_.wvu.FilterData" localSheetId="16" hidden="1">'Raporti tremujor i kontributeve'!$H$10:$H$20</definedName>
    <definedName name="Z_CE29130D_F54B_4517_B637_01D908CB90D3_.wvu.FilterData" localSheetId="3" hidden="1">Shkurt!$E$10:$F$20</definedName>
    <definedName name="Z_CE29130D_F54B_4517_B637_01D908CB90D3_.wvu.FilterData" localSheetId="10" hidden="1">Shtator!$E$10:$F$20</definedName>
    <definedName name="Z_CE29130D_F54B_4517_B637_01D908CB90D3_.wvu.FilterData" localSheetId="11" hidden="1">Tetor!$E$10:$F$20</definedName>
    <definedName name="Z_CE29130D_F54B_4517_B637_01D908CB90D3_.wvu.PrintArea" localSheetId="15" hidden="1">Banka!$E$2:$J$29</definedName>
    <definedName name="Z_CE29130D_F54B_4517_B637_01D908CB90D3_.wvu.PrintArea" localSheetId="20" hidden="1">Certificate!$A$2:$R$32</definedName>
    <definedName name="Z_CE29130D_F54B_4517_B637_01D908CB90D3_.wvu.PrintArea" localSheetId="13" hidden="1">Dhjetor!$C$2:$X$26</definedName>
    <definedName name="Z_CE29130D_F54B_4517_B637_01D908CB90D3_.wvu.PrintArea" localSheetId="14" hidden="1">Fletepagesa!$A$2:$I$62</definedName>
    <definedName name="Z_CE29130D_F54B_4517_B637_01D908CB90D3_.wvu.PrintArea" localSheetId="9" hidden="1">Gusht!$C$2:$X$26</definedName>
    <definedName name="Z_CE29130D_F54B_4517_B637_01D908CB90D3_.wvu.PrintArea" localSheetId="2" hidden="1">Janar!$C$2:$X$27</definedName>
    <definedName name="Z_CE29130D_F54B_4517_B637_01D908CB90D3_.wvu.PrintArea" localSheetId="8" hidden="1">Korrik!$C$2:$X$26</definedName>
    <definedName name="Z_CE29130D_F54B_4517_B637_01D908CB90D3_.wvu.PrintArea" localSheetId="19" hidden="1">'Libri i kontr. dhe tatimeve'!$B$2:$O$29</definedName>
    <definedName name="Z_CE29130D_F54B_4517_B637_01D908CB90D3_.wvu.PrintArea" localSheetId="18" hidden="1">'Liste-Pagesa vjetore'!$B$2:$J$27</definedName>
    <definedName name="Z_CE29130D_F54B_4517_B637_01D908CB90D3_.wvu.PrintArea" localSheetId="6" hidden="1">Maj!$C$2:$X$26</definedName>
    <definedName name="Z_CE29130D_F54B_4517_B637_01D908CB90D3_.wvu.PrintArea" localSheetId="4" hidden="1">Mars!$C$2:$X$26</definedName>
    <definedName name="Z_CE29130D_F54B_4517_B637_01D908CB90D3_.wvu.PrintArea" localSheetId="22" hidden="1">Ndihme!$A$2:$A$47</definedName>
    <definedName name="Z_CE29130D_F54B_4517_B637_01D908CB90D3_.wvu.PrintArea" localSheetId="12" hidden="1">Nentor!$C$2:$X$26</definedName>
    <definedName name="Z_CE29130D_F54B_4517_B637_01D908CB90D3_.wvu.PrintArea" localSheetId="0" hidden="1">Permbajtja!$A$1:$H$31</definedName>
    <definedName name="Z_CE29130D_F54B_4517_B637_01D908CB90D3_.wvu.PrintArea" localSheetId="5" hidden="1">Prill!$C$2:$X$26</definedName>
    <definedName name="Z_CE29130D_F54B_4517_B637_01D908CB90D3_.wvu.PrintArea" localSheetId="7" hidden="1">Qershor!$C$2:$X$26</definedName>
    <definedName name="Z_CE29130D_F54B_4517_B637_01D908CB90D3_.wvu.PrintArea" localSheetId="16" hidden="1">'Raporti tremujor i kontributeve'!$E$2:$K$29</definedName>
    <definedName name="Z_CE29130D_F54B_4517_B637_01D908CB90D3_.wvu.PrintArea" localSheetId="1" hidden="1">Shenime!$B$2:$H$20</definedName>
    <definedName name="Z_CE29130D_F54B_4517_B637_01D908CB90D3_.wvu.PrintArea" localSheetId="3" hidden="1">Shkurt!$C$2:$X$26</definedName>
    <definedName name="Z_CE29130D_F54B_4517_B637_01D908CB90D3_.wvu.PrintArea" localSheetId="10" hidden="1">Shtator!$C$2:$X$26</definedName>
    <definedName name="Z_CE29130D_F54B_4517_B637_01D908CB90D3_.wvu.PrintArea" localSheetId="17" hidden="1">'Taksat dhe klasifikimi i pagave'!$B$2:$L$23</definedName>
    <definedName name="Z_CE29130D_F54B_4517_B637_01D908CB90D3_.wvu.PrintArea" localSheetId="11" hidden="1">Tetor!$C$2:$X$26</definedName>
    <definedName name="Z_CE29130D_F54B_4517_B637_01D908CB90D3_.wvu.PrintTitles" localSheetId="15" hidden="1">Banka!$2:$10</definedName>
    <definedName name="Z_CE29130D_F54B_4517_B637_01D908CB90D3_.wvu.PrintTitles" localSheetId="13" hidden="1">Dhjetor!$2:$10</definedName>
    <definedName name="Z_CE29130D_F54B_4517_B637_01D908CB90D3_.wvu.PrintTitles" localSheetId="9" hidden="1">Gusht!$2:$10</definedName>
    <definedName name="Z_CE29130D_F54B_4517_B637_01D908CB90D3_.wvu.PrintTitles" localSheetId="2" hidden="1">Janar!$2:$10</definedName>
    <definedName name="Z_CE29130D_F54B_4517_B637_01D908CB90D3_.wvu.PrintTitles" localSheetId="8" hidden="1">Korrik!$2:$10</definedName>
    <definedName name="Z_CE29130D_F54B_4517_B637_01D908CB90D3_.wvu.PrintTitles" localSheetId="18" hidden="1">'Liste-Pagesa vjetore'!$2:$10</definedName>
    <definedName name="Z_CE29130D_F54B_4517_B637_01D908CB90D3_.wvu.PrintTitles" localSheetId="6" hidden="1">Maj!$2:$10</definedName>
    <definedName name="Z_CE29130D_F54B_4517_B637_01D908CB90D3_.wvu.PrintTitles" localSheetId="4" hidden="1">Mars!$2:$10</definedName>
    <definedName name="Z_CE29130D_F54B_4517_B637_01D908CB90D3_.wvu.PrintTitles" localSheetId="12" hidden="1">Nentor!$2:$10</definedName>
    <definedName name="Z_CE29130D_F54B_4517_B637_01D908CB90D3_.wvu.PrintTitles" localSheetId="5" hidden="1">Prill!$2:$10</definedName>
    <definedName name="Z_CE29130D_F54B_4517_B637_01D908CB90D3_.wvu.PrintTitles" localSheetId="7" hidden="1">Qershor!$2:$10</definedName>
    <definedName name="Z_CE29130D_F54B_4517_B637_01D908CB90D3_.wvu.PrintTitles" localSheetId="16" hidden="1">'Raporti tremujor i kontributeve'!$2:$10</definedName>
    <definedName name="Z_CE29130D_F54B_4517_B637_01D908CB90D3_.wvu.PrintTitles" localSheetId="1" hidden="1">Shenime!$2:$10</definedName>
    <definedName name="Z_CE29130D_F54B_4517_B637_01D908CB90D3_.wvu.PrintTitles" localSheetId="3" hidden="1">Shkurt!$2:$10</definedName>
    <definedName name="Z_CE29130D_F54B_4517_B637_01D908CB90D3_.wvu.PrintTitles" localSheetId="10" hidden="1">Shtator!$2:$10</definedName>
    <definedName name="Z_CE29130D_F54B_4517_B637_01D908CB90D3_.wvu.PrintTitles" localSheetId="11" hidden="1">Tetor!$2:$10</definedName>
    <definedName name="Z_CE29130D_F54B_4517_B637_01D908CB90D3_.wvu.Rows" localSheetId="15" hidden="1">Banka!$9:$9</definedName>
    <definedName name="Z_CE29130D_F54B_4517_B637_01D908CB90D3_.wvu.Rows" localSheetId="18" hidden="1">'Liste-Pagesa vjetore'!$6:$7</definedName>
    <definedName name="Z_CE29130D_F54B_4517_B637_01D908CB90D3_.wvu.Rows" localSheetId="16" hidden="1">'Raporti tremujor i kontributeve'!$9:$9</definedName>
  </definedNames>
  <calcPr calcId="152511"/>
  <customWorkbookViews>
    <customWorkbookView name="Fisnik - Personal View" guid="{09AFD497-C868-4385-9AB3-7F1632F55388}" mergeInterval="0" personalView="1" maximized="1" showSheetTabs="0" windowWidth="1148" windowHeight="639" tabRatio="954" activeSheetId="16"/>
    <customWorkbookView name="By G@zqee - Personal View" guid="{CE29130D-F54B-4517-B637-01D908CB90D3}" mergeInterval="0" personalView="1" maximized="1" showSheetTabs="0" windowWidth="1020" windowHeight="596" tabRatio="954" activeSheetId="3"/>
  </customWorkbookViews>
</workbook>
</file>

<file path=xl/calcChain.xml><?xml version="1.0" encoding="utf-8"?>
<calcChain xmlns="http://schemas.openxmlformats.org/spreadsheetml/2006/main">
  <c r="C2" i="9" l="1"/>
  <c r="C4" i="9"/>
  <c r="D17" i="6" l="1"/>
  <c r="D18" i="6"/>
  <c r="D19" i="6"/>
  <c r="D16" i="5"/>
  <c r="D17" i="5"/>
  <c r="D18" i="5"/>
  <c r="D19" i="5"/>
  <c r="D17" i="4"/>
  <c r="D18" i="4"/>
  <c r="D19" i="4"/>
  <c r="D20" i="4"/>
  <c r="D16" i="4"/>
  <c r="J16" i="3"/>
  <c r="M16" i="3" s="1"/>
  <c r="N16" i="3" s="1"/>
  <c r="O16" i="3" s="1"/>
  <c r="J17" i="3"/>
  <c r="M17" i="3" s="1"/>
  <c r="N5" i="22"/>
  <c r="N6" i="22" s="1"/>
  <c r="F4" i="21"/>
  <c r="H6" i="21"/>
  <c r="F8" i="21"/>
  <c r="F10" i="21"/>
  <c r="F16" i="21"/>
  <c r="I18" i="21"/>
  <c r="F20" i="21"/>
  <c r="O20" i="21"/>
  <c r="B27" i="21"/>
  <c r="E17" i="19"/>
  <c r="E27" i="21" s="1"/>
  <c r="E13" i="19"/>
  <c r="K17" i="3"/>
  <c r="K17" i="6"/>
  <c r="K17" i="4"/>
  <c r="L11" i="20" s="1"/>
  <c r="K17" i="5"/>
  <c r="L12" i="20" s="1"/>
  <c r="K17" i="10"/>
  <c r="K17" i="11"/>
  <c r="K17" i="12"/>
  <c r="K17" i="13"/>
  <c r="L20" i="20" s="1"/>
  <c r="K17" i="14"/>
  <c r="K13" i="3"/>
  <c r="K13" i="4"/>
  <c r="K13" i="5"/>
  <c r="K13" i="6"/>
  <c r="K13" i="7"/>
  <c r="K13" i="8"/>
  <c r="K13" i="9"/>
  <c r="K13" i="10"/>
  <c r="K13" i="11"/>
  <c r="K13" i="12"/>
  <c r="K13" i="13"/>
  <c r="K13" i="14"/>
  <c r="J17" i="6"/>
  <c r="J17" i="4"/>
  <c r="J17" i="5"/>
  <c r="M17" i="5" s="1"/>
  <c r="J17" i="10"/>
  <c r="E17" i="20" s="1"/>
  <c r="J17" i="11"/>
  <c r="M17" i="11" s="1"/>
  <c r="J17" i="12"/>
  <c r="J17" i="13"/>
  <c r="M17" i="13" s="1"/>
  <c r="J17" i="14"/>
  <c r="L17" i="14" s="1"/>
  <c r="J13" i="3"/>
  <c r="M13" i="3" s="1"/>
  <c r="J13" i="4"/>
  <c r="M13" i="4" s="1"/>
  <c r="N13" i="4" s="1"/>
  <c r="O13" i="4" s="1"/>
  <c r="J13" i="5"/>
  <c r="M13" i="5" s="1"/>
  <c r="N13" i="5" s="1"/>
  <c r="O13" i="5" s="1"/>
  <c r="J13" i="6"/>
  <c r="L13" i="6" s="1"/>
  <c r="J13" i="7"/>
  <c r="L13" i="7" s="1"/>
  <c r="J13" i="8"/>
  <c r="J13" i="9"/>
  <c r="M13" i="9" s="1"/>
  <c r="N13" i="9" s="1"/>
  <c r="O13" i="9" s="1"/>
  <c r="J13" i="10"/>
  <c r="M13" i="10" s="1"/>
  <c r="N13" i="10" s="1"/>
  <c r="O13" i="10" s="1"/>
  <c r="J13" i="11"/>
  <c r="M13" i="11" s="1"/>
  <c r="N13" i="11" s="1"/>
  <c r="O13" i="11" s="1"/>
  <c r="J13" i="12"/>
  <c r="J13" i="13"/>
  <c r="M13" i="13" s="1"/>
  <c r="N13" i="13" s="1"/>
  <c r="O13" i="13" s="1"/>
  <c r="J13" i="14"/>
  <c r="M17" i="6"/>
  <c r="N17" i="6" s="1"/>
  <c r="O17" i="6" s="1"/>
  <c r="M17" i="4"/>
  <c r="N17" i="4" s="1"/>
  <c r="O17" i="4" s="1"/>
  <c r="M17" i="12"/>
  <c r="N17" i="12" s="1"/>
  <c r="O17" i="12" s="1"/>
  <c r="M17" i="14"/>
  <c r="N17" i="14" s="1"/>
  <c r="O17" i="14" s="1"/>
  <c r="M13" i="6"/>
  <c r="N13" i="6" s="1"/>
  <c r="O13" i="6" s="1"/>
  <c r="M13" i="7"/>
  <c r="N13" i="7" s="1"/>
  <c r="O13" i="7" s="1"/>
  <c r="M13" i="8"/>
  <c r="N13" i="8" s="1"/>
  <c r="O13" i="8" s="1"/>
  <c r="M13" i="12"/>
  <c r="N13" i="12" s="1"/>
  <c r="O13" i="12" s="1"/>
  <c r="M13" i="14"/>
  <c r="N13" i="14" s="1"/>
  <c r="O13" i="14" s="1"/>
  <c r="B3" i="20"/>
  <c r="H3" i="20"/>
  <c r="M3" i="20"/>
  <c r="H4" i="20"/>
  <c r="B5" i="20"/>
  <c r="H5" i="20"/>
  <c r="C10" i="20"/>
  <c r="D10" i="20"/>
  <c r="J18" i="3"/>
  <c r="M18" i="3" s="1"/>
  <c r="E10" i="20"/>
  <c r="F10" i="20" s="1"/>
  <c r="W18" i="3"/>
  <c r="K18" i="3"/>
  <c r="L18" i="3" s="1"/>
  <c r="C11" i="20"/>
  <c r="D11" i="20"/>
  <c r="E11" i="20"/>
  <c r="C12" i="20"/>
  <c r="D12" i="20"/>
  <c r="C13" i="20"/>
  <c r="C14" i="20"/>
  <c r="C15" i="20"/>
  <c r="C16" i="20"/>
  <c r="C17" i="20"/>
  <c r="C18" i="20"/>
  <c r="J19" i="11"/>
  <c r="M19" i="11" s="1"/>
  <c r="N19" i="11" s="1"/>
  <c r="O19" i="11" s="1"/>
  <c r="K19" i="11"/>
  <c r="C19" i="20"/>
  <c r="E19" i="20"/>
  <c r="C20" i="20"/>
  <c r="C21" i="20"/>
  <c r="B2" i="19"/>
  <c r="B3" i="19"/>
  <c r="B4" i="19"/>
  <c r="B9" i="19"/>
  <c r="C11" i="19"/>
  <c r="D11" i="19"/>
  <c r="E11" i="19"/>
  <c r="J11" i="3"/>
  <c r="M11" i="3" s="1"/>
  <c r="J11" i="4"/>
  <c r="M11" i="4" s="1"/>
  <c r="N11" i="4" s="1"/>
  <c r="O11" i="4" s="1"/>
  <c r="J11" i="5"/>
  <c r="M11" i="5" s="1"/>
  <c r="N11" i="5" s="1"/>
  <c r="O11" i="5" s="1"/>
  <c r="J11" i="6"/>
  <c r="M11" i="6" s="1"/>
  <c r="N11" i="6" s="1"/>
  <c r="O11" i="6" s="1"/>
  <c r="J11" i="7"/>
  <c r="M11" i="7" s="1"/>
  <c r="J11" i="8"/>
  <c r="J11" i="9"/>
  <c r="M11" i="9" s="1"/>
  <c r="J11" i="10"/>
  <c r="M11" i="10" s="1"/>
  <c r="N11" i="10" s="1"/>
  <c r="O11" i="10" s="1"/>
  <c r="J11" i="11"/>
  <c r="M11" i="11" s="1"/>
  <c r="J11" i="12"/>
  <c r="J11" i="13"/>
  <c r="M11" i="13" s="1"/>
  <c r="N11" i="13" s="1"/>
  <c r="O11" i="13" s="1"/>
  <c r="J11" i="14"/>
  <c r="K11" i="3"/>
  <c r="K11" i="4"/>
  <c r="K11" i="5"/>
  <c r="K11" i="6"/>
  <c r="K11" i="7"/>
  <c r="K11" i="8"/>
  <c r="K11" i="9"/>
  <c r="K11" i="10"/>
  <c r="K11" i="11"/>
  <c r="K11" i="12"/>
  <c r="K11" i="13"/>
  <c r="K11" i="14"/>
  <c r="M11" i="8"/>
  <c r="N11" i="8" s="1"/>
  <c r="O11" i="8" s="1"/>
  <c r="M11" i="12"/>
  <c r="N11" i="12" s="1"/>
  <c r="O11" i="12" s="1"/>
  <c r="M11" i="14"/>
  <c r="N11" i="14" s="1"/>
  <c r="O11" i="14" s="1"/>
  <c r="C12" i="19"/>
  <c r="D12" i="19"/>
  <c r="E12" i="19"/>
  <c r="J12" i="3"/>
  <c r="J12" i="4"/>
  <c r="M12" i="4" s="1"/>
  <c r="N12" i="4" s="1"/>
  <c r="O12" i="4" s="1"/>
  <c r="P12" i="4" s="1"/>
  <c r="J12" i="5"/>
  <c r="M12" i="5" s="1"/>
  <c r="N12" i="5" s="1"/>
  <c r="O12" i="5" s="1"/>
  <c r="P12" i="5" s="1"/>
  <c r="Q12" i="5" s="1"/>
  <c r="T12" i="5" s="1"/>
  <c r="J12" i="6"/>
  <c r="M12" i="6" s="1"/>
  <c r="N12" i="6" s="1"/>
  <c r="O12" i="6" s="1"/>
  <c r="P12" i="6" s="1"/>
  <c r="Q12" i="6" s="1"/>
  <c r="T12" i="6" s="1"/>
  <c r="J12" i="7"/>
  <c r="M12" i="7" s="1"/>
  <c r="N12" i="7" s="1"/>
  <c r="O12" i="7" s="1"/>
  <c r="P12" i="7" s="1"/>
  <c r="Q12" i="7" s="1"/>
  <c r="T12" i="7" s="1"/>
  <c r="J12" i="8"/>
  <c r="M12" i="8" s="1"/>
  <c r="N12" i="8" s="1"/>
  <c r="O12" i="8" s="1"/>
  <c r="P12" i="8" s="1"/>
  <c r="Q12" i="8" s="1"/>
  <c r="T12" i="8" s="1"/>
  <c r="J12" i="9"/>
  <c r="M12" i="9" s="1"/>
  <c r="N12" i="9" s="1"/>
  <c r="O12" i="9" s="1"/>
  <c r="P12" i="9" s="1"/>
  <c r="Q12" i="9" s="1"/>
  <c r="T12" i="9" s="1"/>
  <c r="J12" i="10"/>
  <c r="M12" i="10" s="1"/>
  <c r="N12" i="10" s="1"/>
  <c r="O12" i="10" s="1"/>
  <c r="P12" i="10" s="1"/>
  <c r="Q12" i="10" s="1"/>
  <c r="T12" i="10" s="1"/>
  <c r="J12" i="11"/>
  <c r="M12" i="11" s="1"/>
  <c r="N12" i="11" s="1"/>
  <c r="O12" i="11" s="1"/>
  <c r="P12" i="11" s="1"/>
  <c r="Q12" i="11" s="1"/>
  <c r="T12" i="11" s="1"/>
  <c r="J12" i="12"/>
  <c r="M12" i="12" s="1"/>
  <c r="N12" i="12" s="1"/>
  <c r="O12" i="12" s="1"/>
  <c r="P12" i="12" s="1"/>
  <c r="Q12" i="12" s="1"/>
  <c r="T12" i="12" s="1"/>
  <c r="J12" i="13"/>
  <c r="L12" i="13" s="1"/>
  <c r="J12" i="14"/>
  <c r="M12" i="14" s="1"/>
  <c r="N12" i="14" s="1"/>
  <c r="O12" i="14" s="1"/>
  <c r="P12" i="14" s="1"/>
  <c r="Q12" i="14" s="1"/>
  <c r="T12" i="14" s="1"/>
  <c r="K12" i="3"/>
  <c r="K12" i="4"/>
  <c r="K12" i="5"/>
  <c r="K12" i="6"/>
  <c r="K12" i="7"/>
  <c r="K12" i="8"/>
  <c r="K12" i="9"/>
  <c r="K12" i="10"/>
  <c r="K12" i="11"/>
  <c r="K12" i="12"/>
  <c r="K12" i="13"/>
  <c r="K12" i="14"/>
  <c r="M12" i="3"/>
  <c r="N12" i="3" s="1"/>
  <c r="O12" i="3" s="1"/>
  <c r="P12" i="3" s="1"/>
  <c r="Q12" i="3" s="1"/>
  <c r="T12" i="3" s="1"/>
  <c r="M12" i="13"/>
  <c r="N12" i="13" s="1"/>
  <c r="O12" i="13" s="1"/>
  <c r="P12" i="13" s="1"/>
  <c r="Q12" i="13" s="1"/>
  <c r="T12" i="13" s="1"/>
  <c r="C13" i="19"/>
  <c r="D13" i="19"/>
  <c r="C14" i="19"/>
  <c r="D14" i="19"/>
  <c r="E14" i="19"/>
  <c r="J14" i="3"/>
  <c r="J14" i="4"/>
  <c r="J14" i="5"/>
  <c r="L14" i="5" s="1"/>
  <c r="J14" i="10"/>
  <c r="J14" i="11"/>
  <c r="J14" i="12"/>
  <c r="J14" i="13"/>
  <c r="L14" i="13" s="1"/>
  <c r="J14" i="14"/>
  <c r="K14" i="3"/>
  <c r="K14" i="4"/>
  <c r="K14" i="5"/>
  <c r="K14" i="10"/>
  <c r="K14" i="11"/>
  <c r="K14" i="12"/>
  <c r="K14" i="13"/>
  <c r="K14" i="14"/>
  <c r="M14" i="3"/>
  <c r="N14" i="3" s="1"/>
  <c r="O14" i="3" s="1"/>
  <c r="M14" i="4"/>
  <c r="N14" i="4" s="1"/>
  <c r="O14" i="4" s="1"/>
  <c r="M14" i="5"/>
  <c r="N14" i="5" s="1"/>
  <c r="O14" i="5" s="1"/>
  <c r="M14" i="10"/>
  <c r="N14" i="10" s="1"/>
  <c r="O14" i="10" s="1"/>
  <c r="M14" i="11"/>
  <c r="N14" i="11" s="1"/>
  <c r="O14" i="11" s="1"/>
  <c r="M14" i="12"/>
  <c r="N14" i="12" s="1"/>
  <c r="O14" i="12" s="1"/>
  <c r="M14" i="13"/>
  <c r="N14" i="13" s="1"/>
  <c r="O14" i="13" s="1"/>
  <c r="M14" i="14"/>
  <c r="N14" i="14" s="1"/>
  <c r="O14" i="14" s="1"/>
  <c r="C15" i="19"/>
  <c r="D15" i="19"/>
  <c r="E15" i="19"/>
  <c r="J15" i="3"/>
  <c r="J15" i="4"/>
  <c r="J15" i="5"/>
  <c r="M15" i="5" s="1"/>
  <c r="N15" i="5" s="1"/>
  <c r="O15" i="5" s="1"/>
  <c r="J15" i="6"/>
  <c r="M15" i="6" s="1"/>
  <c r="N15" i="6" s="1"/>
  <c r="O15" i="6" s="1"/>
  <c r="J15" i="7"/>
  <c r="M15" i="7" s="1"/>
  <c r="N15" i="7" s="1"/>
  <c r="O15" i="7" s="1"/>
  <c r="J15" i="8"/>
  <c r="M15" i="8" s="1"/>
  <c r="N15" i="8" s="1"/>
  <c r="O15" i="8" s="1"/>
  <c r="J15" i="9"/>
  <c r="M15" i="9" s="1"/>
  <c r="N15" i="9" s="1"/>
  <c r="O15" i="9" s="1"/>
  <c r="J15" i="10"/>
  <c r="M15" i="10" s="1"/>
  <c r="N15" i="10" s="1"/>
  <c r="O15" i="10" s="1"/>
  <c r="J15" i="11"/>
  <c r="M15" i="11" s="1"/>
  <c r="N15" i="11" s="1"/>
  <c r="O15" i="11" s="1"/>
  <c r="J15" i="12"/>
  <c r="M15" i="12" s="1"/>
  <c r="J15" i="13"/>
  <c r="M15" i="13" s="1"/>
  <c r="N15" i="13" s="1"/>
  <c r="O15" i="13" s="1"/>
  <c r="J15" i="14"/>
  <c r="M15" i="14" s="1"/>
  <c r="K15" i="3"/>
  <c r="K15" i="4"/>
  <c r="K15" i="5"/>
  <c r="K15" i="6"/>
  <c r="K15" i="7"/>
  <c r="K15" i="8"/>
  <c r="K15" i="9"/>
  <c r="K15" i="10"/>
  <c r="K15" i="11"/>
  <c r="K15" i="12"/>
  <c r="K15" i="13"/>
  <c r="K15" i="14"/>
  <c r="M15" i="3"/>
  <c r="N15" i="3" s="1"/>
  <c r="O15" i="3" s="1"/>
  <c r="C16" i="19"/>
  <c r="D16" i="19"/>
  <c r="E16" i="19"/>
  <c r="J16" i="4"/>
  <c r="J16" i="5"/>
  <c r="J16" i="6"/>
  <c r="M16" i="6" s="1"/>
  <c r="J16" i="7"/>
  <c r="M16" i="7" s="1"/>
  <c r="J16" i="8"/>
  <c r="M16" i="8" s="1"/>
  <c r="J16" i="9"/>
  <c r="J16" i="10"/>
  <c r="M16" i="10" s="1"/>
  <c r="J16" i="11"/>
  <c r="M16" i="11" s="1"/>
  <c r="J16" i="12"/>
  <c r="M16" i="12" s="1"/>
  <c r="J16" i="13"/>
  <c r="M16" i="13" s="1"/>
  <c r="N16" i="13" s="1"/>
  <c r="O16" i="13" s="1"/>
  <c r="R16" i="13" s="1"/>
  <c r="J16" i="14"/>
  <c r="M16" i="14" s="1"/>
  <c r="K16" i="3"/>
  <c r="L16" i="3" s="1"/>
  <c r="K16" i="4"/>
  <c r="K16" i="5"/>
  <c r="K16" i="6"/>
  <c r="L13" i="20" s="1"/>
  <c r="K16" i="7"/>
  <c r="K16" i="8"/>
  <c r="K16" i="9"/>
  <c r="K16" i="10"/>
  <c r="K16" i="11"/>
  <c r="L18" i="20" s="1"/>
  <c r="K16" i="12"/>
  <c r="L19" i="20" s="1"/>
  <c r="K16" i="13"/>
  <c r="K16" i="14"/>
  <c r="M16" i="5"/>
  <c r="N16" i="5" s="1"/>
  <c r="O16" i="5" s="1"/>
  <c r="C17" i="19"/>
  <c r="D17" i="19"/>
  <c r="C18" i="19"/>
  <c r="D18" i="19"/>
  <c r="E18" i="19"/>
  <c r="J18" i="6"/>
  <c r="L18" i="6" s="1"/>
  <c r="J18" i="4"/>
  <c r="M18" i="4" s="1"/>
  <c r="N18" i="4" s="1"/>
  <c r="O18" i="4" s="1"/>
  <c r="P18" i="4" s="1"/>
  <c r="J18" i="5"/>
  <c r="M18" i="5" s="1"/>
  <c r="N18" i="5" s="1"/>
  <c r="O18" i="5" s="1"/>
  <c r="P18" i="5" s="1"/>
  <c r="J18" i="7"/>
  <c r="M18" i="7" s="1"/>
  <c r="N18" i="7" s="1"/>
  <c r="O18" i="7" s="1"/>
  <c r="P18" i="7" s="1"/>
  <c r="J18" i="8"/>
  <c r="L18" i="8" s="1"/>
  <c r="J18" i="9"/>
  <c r="M18" i="9" s="1"/>
  <c r="N18" i="9" s="1"/>
  <c r="O18" i="9" s="1"/>
  <c r="P18" i="9" s="1"/>
  <c r="J18" i="10"/>
  <c r="M18" i="10" s="1"/>
  <c r="N18" i="10" s="1"/>
  <c r="O18" i="10" s="1"/>
  <c r="P18" i="10" s="1"/>
  <c r="J18" i="11"/>
  <c r="J18" i="12"/>
  <c r="M18" i="12" s="1"/>
  <c r="N18" i="12" s="1"/>
  <c r="O18" i="12" s="1"/>
  <c r="P18" i="12" s="1"/>
  <c r="J18" i="13"/>
  <c r="L18" i="13" s="1"/>
  <c r="J18" i="14"/>
  <c r="M18" i="14" s="1"/>
  <c r="N18" i="14" s="1"/>
  <c r="O18" i="14" s="1"/>
  <c r="P18" i="14" s="1"/>
  <c r="K18" i="6"/>
  <c r="K18" i="4"/>
  <c r="K18" i="5"/>
  <c r="L18" i="5" s="1"/>
  <c r="K18" i="7"/>
  <c r="K18" i="8"/>
  <c r="K18" i="9"/>
  <c r="K18" i="10"/>
  <c r="L18" i="10" s="1"/>
  <c r="K18" i="11"/>
  <c r="K18" i="12"/>
  <c r="K18" i="13"/>
  <c r="K18" i="14"/>
  <c r="M18" i="11"/>
  <c r="N18" i="11" s="1"/>
  <c r="O18" i="11" s="1"/>
  <c r="P18" i="11" s="1"/>
  <c r="C19" i="19"/>
  <c r="D19" i="19"/>
  <c r="E19" i="19"/>
  <c r="J19" i="3"/>
  <c r="M19" i="3" s="1"/>
  <c r="N19" i="3" s="1"/>
  <c r="O19" i="3" s="1"/>
  <c r="K19" i="3"/>
  <c r="L19" i="3" s="1"/>
  <c r="C20" i="19"/>
  <c r="D20" i="19"/>
  <c r="E20" i="19"/>
  <c r="J21" i="3"/>
  <c r="M21" i="3" s="1"/>
  <c r="N21" i="3" s="1"/>
  <c r="O21" i="3" s="1"/>
  <c r="K21" i="3"/>
  <c r="L21" i="3" s="1"/>
  <c r="B2" i="18"/>
  <c r="B3" i="18"/>
  <c r="B4" i="18"/>
  <c r="C10" i="18"/>
  <c r="E2" i="17"/>
  <c r="E3" i="17"/>
  <c r="E4" i="17"/>
  <c r="G7" i="17"/>
  <c r="H7" i="17"/>
  <c r="H11" i="17"/>
  <c r="C11" i="17" s="1"/>
  <c r="D11" i="17" s="1"/>
  <c r="F11" i="17"/>
  <c r="G11" i="17"/>
  <c r="L11" i="4"/>
  <c r="L11" i="5"/>
  <c r="L11" i="6"/>
  <c r="L11" i="7"/>
  <c r="L11" i="8"/>
  <c r="L11" i="9"/>
  <c r="L11" i="10"/>
  <c r="L11" i="11"/>
  <c r="L11" i="12"/>
  <c r="L11" i="14"/>
  <c r="H12" i="17"/>
  <c r="C12" i="17" s="1"/>
  <c r="F12" i="17"/>
  <c r="G12" i="17"/>
  <c r="L12" i="6"/>
  <c r="L12" i="7"/>
  <c r="L12" i="8"/>
  <c r="L12" i="10"/>
  <c r="L12" i="11"/>
  <c r="L12" i="12"/>
  <c r="L12" i="14"/>
  <c r="H13" i="17"/>
  <c r="C13" i="17" s="1"/>
  <c r="F13" i="17"/>
  <c r="G13" i="17"/>
  <c r="L13" i="3"/>
  <c r="L13" i="13"/>
  <c r="L13" i="14"/>
  <c r="H14" i="17"/>
  <c r="C14" i="17" s="1"/>
  <c r="F14" i="17"/>
  <c r="G14" i="17"/>
  <c r="L14" i="10"/>
  <c r="L14" i="11"/>
  <c r="L14" i="12"/>
  <c r="H15" i="17"/>
  <c r="C15" i="17" s="1"/>
  <c r="F15" i="17"/>
  <c r="G15" i="17"/>
  <c r="L15" i="3"/>
  <c r="L15" i="7"/>
  <c r="L15" i="9"/>
  <c r="L15" i="10"/>
  <c r="L15" i="12"/>
  <c r="H16" i="17"/>
  <c r="C16" i="17" s="1"/>
  <c r="L16" i="4"/>
  <c r="L16" i="14"/>
  <c r="H17" i="17"/>
  <c r="C17" i="17" s="1"/>
  <c r="F17" i="17"/>
  <c r="G17" i="17"/>
  <c r="L17" i="3"/>
  <c r="L17" i="6"/>
  <c r="L17" i="4"/>
  <c r="L17" i="11"/>
  <c r="L17" i="12"/>
  <c r="H18" i="17"/>
  <c r="C18" i="17" s="1"/>
  <c r="F18" i="17"/>
  <c r="G18" i="17"/>
  <c r="L18" i="7"/>
  <c r="H19" i="17"/>
  <c r="C19" i="17" s="1"/>
  <c r="F19" i="17"/>
  <c r="G19" i="17"/>
  <c r="H20" i="17"/>
  <c r="C20" i="17" s="1"/>
  <c r="E20" i="17" s="1"/>
  <c r="F20" i="17"/>
  <c r="G20" i="17"/>
  <c r="E2" i="16"/>
  <c r="E3" i="16"/>
  <c r="I3" i="16"/>
  <c r="E4" i="16"/>
  <c r="I4" i="16"/>
  <c r="J8" i="16"/>
  <c r="W11" i="3"/>
  <c r="M11" i="16"/>
  <c r="N11" i="16"/>
  <c r="O11" i="16"/>
  <c r="P11" i="16"/>
  <c r="Q11" i="16"/>
  <c r="R11" i="16"/>
  <c r="S11" i="16"/>
  <c r="U11" i="16"/>
  <c r="V11" i="16"/>
  <c r="W11" i="16"/>
  <c r="F11" i="16"/>
  <c r="G11" i="16"/>
  <c r="H11" i="16"/>
  <c r="I11" i="16"/>
  <c r="W12" i="3"/>
  <c r="M12" i="16"/>
  <c r="N12" i="16"/>
  <c r="O12" i="16"/>
  <c r="P12" i="16"/>
  <c r="Q12" i="16"/>
  <c r="R12" i="16"/>
  <c r="S12" i="16"/>
  <c r="U12" i="16"/>
  <c r="V12" i="16"/>
  <c r="W12" i="16"/>
  <c r="F12" i="16"/>
  <c r="G12" i="16"/>
  <c r="H12" i="16"/>
  <c r="I12" i="16"/>
  <c r="W13" i="3"/>
  <c r="W8" i="3" s="1"/>
  <c r="M13" i="16"/>
  <c r="N13" i="16"/>
  <c r="O13" i="16"/>
  <c r="P13" i="16"/>
  <c r="Q13" i="16"/>
  <c r="R13" i="16"/>
  <c r="S13" i="16"/>
  <c r="U13" i="16"/>
  <c r="V13" i="16"/>
  <c r="W13" i="16"/>
  <c r="F13" i="16"/>
  <c r="G13" i="16"/>
  <c r="H13" i="16"/>
  <c r="I13" i="16"/>
  <c r="W14" i="3"/>
  <c r="M14" i="16"/>
  <c r="N14" i="16"/>
  <c r="O14" i="16"/>
  <c r="P14" i="16"/>
  <c r="Q14" i="16"/>
  <c r="R14" i="16"/>
  <c r="S14" i="16"/>
  <c r="U14" i="16"/>
  <c r="V14" i="16"/>
  <c r="W14" i="16"/>
  <c r="F14" i="16"/>
  <c r="G14" i="16"/>
  <c r="H14" i="16"/>
  <c r="I14" i="16"/>
  <c r="W15" i="3"/>
  <c r="M15" i="16"/>
  <c r="N15" i="16"/>
  <c r="O15" i="16"/>
  <c r="P15" i="16"/>
  <c r="Q15" i="16"/>
  <c r="R15" i="16"/>
  <c r="S15" i="16"/>
  <c r="U15" i="16"/>
  <c r="V15" i="16"/>
  <c r="W15" i="16"/>
  <c r="F15" i="16"/>
  <c r="G15" i="16"/>
  <c r="H15" i="16"/>
  <c r="I15" i="16"/>
  <c r="W16" i="3"/>
  <c r="M16" i="16"/>
  <c r="N16" i="16"/>
  <c r="O16" i="16"/>
  <c r="P16" i="16"/>
  <c r="Q16" i="16"/>
  <c r="R16" i="16"/>
  <c r="S16" i="16"/>
  <c r="U16" i="16"/>
  <c r="V16" i="16"/>
  <c r="W16" i="16"/>
  <c r="F16" i="16"/>
  <c r="G16" i="16"/>
  <c r="H16" i="16"/>
  <c r="I16" i="16"/>
  <c r="W17" i="3"/>
  <c r="K10" i="20" s="1"/>
  <c r="M17" i="16"/>
  <c r="N17" i="16"/>
  <c r="O17" i="16"/>
  <c r="P17" i="16"/>
  <c r="Q17" i="16"/>
  <c r="R17" i="16"/>
  <c r="S17" i="16"/>
  <c r="U17" i="16"/>
  <c r="V17" i="16"/>
  <c r="W17" i="16"/>
  <c r="F17" i="16"/>
  <c r="G17" i="16"/>
  <c r="H17" i="16"/>
  <c r="I17" i="16"/>
  <c r="M18" i="16"/>
  <c r="N18" i="16"/>
  <c r="O18" i="16"/>
  <c r="P18" i="16"/>
  <c r="Q18" i="16"/>
  <c r="R18" i="16"/>
  <c r="S18" i="16"/>
  <c r="U18" i="16"/>
  <c r="V18" i="16"/>
  <c r="W18" i="16"/>
  <c r="F18" i="16"/>
  <c r="G18" i="16"/>
  <c r="H18" i="16"/>
  <c r="I18" i="16"/>
  <c r="W19" i="3"/>
  <c r="M19" i="16"/>
  <c r="N19" i="16"/>
  <c r="O19" i="16"/>
  <c r="P19" i="16"/>
  <c r="Q19" i="16"/>
  <c r="R19" i="16"/>
  <c r="S19" i="16"/>
  <c r="U19" i="16"/>
  <c r="V19" i="16"/>
  <c r="W19" i="16"/>
  <c r="F19" i="16"/>
  <c r="G19" i="16"/>
  <c r="H19" i="16"/>
  <c r="I19" i="16"/>
  <c r="W21" i="3"/>
  <c r="M20" i="16"/>
  <c r="N20" i="16"/>
  <c r="O20" i="16"/>
  <c r="P20" i="16"/>
  <c r="Q20" i="16"/>
  <c r="R20" i="16"/>
  <c r="S20" i="16"/>
  <c r="U20" i="16"/>
  <c r="V20" i="16"/>
  <c r="W20" i="16"/>
  <c r="F20" i="16"/>
  <c r="G20" i="16"/>
  <c r="H20" i="16"/>
  <c r="I20" i="16"/>
  <c r="D2" i="15"/>
  <c r="D3" i="15"/>
  <c r="A6" i="15"/>
  <c r="B6" i="15" s="1"/>
  <c r="G6" i="15"/>
  <c r="C17" i="15"/>
  <c r="C19" i="15"/>
  <c r="D21" i="15"/>
  <c r="D23" i="15"/>
  <c r="H29" i="15"/>
  <c r="H32" i="15"/>
  <c r="H35" i="15"/>
  <c r="C2" i="14"/>
  <c r="I2" i="14"/>
  <c r="C3" i="14"/>
  <c r="I3" i="14"/>
  <c r="C4" i="14"/>
  <c r="C5" i="14"/>
  <c r="H6" i="14"/>
  <c r="A11" i="14"/>
  <c r="A12" i="14"/>
  <c r="A13" i="14"/>
  <c r="A14" i="14"/>
  <c r="A15" i="14"/>
  <c r="A16" i="14"/>
  <c r="A17" i="14"/>
  <c r="A18" i="14"/>
  <c r="A19" i="14"/>
  <c r="A20" i="14"/>
  <c r="C8" i="14"/>
  <c r="F8" i="14"/>
  <c r="G8" i="14"/>
  <c r="D11" i="14"/>
  <c r="W11" i="14"/>
  <c r="D12" i="14"/>
  <c r="W12" i="14"/>
  <c r="D13" i="14"/>
  <c r="W13" i="14"/>
  <c r="D14" i="14"/>
  <c r="W14" i="14"/>
  <c r="D15" i="14"/>
  <c r="W15" i="14"/>
  <c r="D16" i="14"/>
  <c r="W16" i="14"/>
  <c r="D17" i="14"/>
  <c r="W17" i="14"/>
  <c r="K21" i="20" s="1"/>
  <c r="D18" i="14"/>
  <c r="W18" i="14"/>
  <c r="D19" i="14"/>
  <c r="J19" i="14"/>
  <c r="K19" i="14"/>
  <c r="W19" i="14"/>
  <c r="D20" i="14"/>
  <c r="J20" i="14"/>
  <c r="M20" i="14" s="1"/>
  <c r="N20" i="14" s="1"/>
  <c r="O20" i="14" s="1"/>
  <c r="K20" i="14"/>
  <c r="W20" i="14"/>
  <c r="C2" i="13"/>
  <c r="I2" i="13"/>
  <c r="C3" i="13"/>
  <c r="I3" i="13"/>
  <c r="C4" i="13"/>
  <c r="C5" i="13"/>
  <c r="H6" i="13"/>
  <c r="A11" i="13"/>
  <c r="A12" i="13"/>
  <c r="A13" i="13"/>
  <c r="A14" i="13"/>
  <c r="A15" i="13"/>
  <c r="A16" i="13"/>
  <c r="A17" i="13"/>
  <c r="A18" i="13"/>
  <c r="A19" i="13"/>
  <c r="A20" i="13"/>
  <c r="C8" i="13"/>
  <c r="F8" i="13"/>
  <c r="G8" i="13"/>
  <c r="D11" i="13"/>
  <c r="W11" i="13"/>
  <c r="D12" i="13"/>
  <c r="W12" i="13"/>
  <c r="D13" i="13"/>
  <c r="W13" i="13"/>
  <c r="D14" i="13"/>
  <c r="W14" i="13"/>
  <c r="D15" i="13"/>
  <c r="W15" i="13"/>
  <c r="D16" i="13"/>
  <c r="W16" i="13"/>
  <c r="D17" i="13"/>
  <c r="W17" i="13"/>
  <c r="K20" i="20" s="1"/>
  <c r="D18" i="13"/>
  <c r="W18" i="13"/>
  <c r="D19" i="13"/>
  <c r="J19" i="13"/>
  <c r="K19" i="13"/>
  <c r="W19" i="13"/>
  <c r="D20" i="13"/>
  <c r="J20" i="13"/>
  <c r="M20" i="13" s="1"/>
  <c r="K20" i="13"/>
  <c r="W20" i="13"/>
  <c r="C2" i="12"/>
  <c r="I2" i="12"/>
  <c r="C3" i="12"/>
  <c r="I3" i="12"/>
  <c r="C4" i="12"/>
  <c r="C5" i="12"/>
  <c r="H6" i="12"/>
  <c r="A11" i="12"/>
  <c r="A12" i="12"/>
  <c r="A13" i="12"/>
  <c r="A14" i="12"/>
  <c r="A15" i="12"/>
  <c r="A16" i="12"/>
  <c r="A17" i="12"/>
  <c r="A18" i="12"/>
  <c r="A19" i="12"/>
  <c r="A20" i="12"/>
  <c r="C8" i="12"/>
  <c r="F8" i="12"/>
  <c r="G8" i="12"/>
  <c r="D11" i="12"/>
  <c r="W11" i="12"/>
  <c r="D12" i="12"/>
  <c r="W12" i="12"/>
  <c r="D13" i="12"/>
  <c r="W13" i="12"/>
  <c r="D14" i="12"/>
  <c r="W14" i="12"/>
  <c r="D15" i="12"/>
  <c r="W15" i="12"/>
  <c r="D16" i="12"/>
  <c r="W16" i="12"/>
  <c r="D17" i="12"/>
  <c r="W17" i="12"/>
  <c r="K19" i="20" s="1"/>
  <c r="D18" i="12"/>
  <c r="W18" i="12"/>
  <c r="D19" i="12"/>
  <c r="J19" i="12"/>
  <c r="K19" i="12"/>
  <c r="W19" i="12"/>
  <c r="D20" i="12"/>
  <c r="J20" i="12"/>
  <c r="M20" i="12" s="1"/>
  <c r="N20" i="12" s="1"/>
  <c r="O20" i="12" s="1"/>
  <c r="K20" i="12"/>
  <c r="W20" i="12"/>
  <c r="C2" i="11"/>
  <c r="I2" i="11"/>
  <c r="C3" i="11"/>
  <c r="I3" i="11"/>
  <c r="C4" i="11"/>
  <c r="C5" i="11"/>
  <c r="H6" i="11"/>
  <c r="A11" i="11"/>
  <c r="A12" i="11"/>
  <c r="A13" i="11"/>
  <c r="A14" i="11"/>
  <c r="A15" i="11"/>
  <c r="A16" i="11"/>
  <c r="A17" i="11"/>
  <c r="A18" i="11"/>
  <c r="A19" i="11"/>
  <c r="A20" i="11"/>
  <c r="C8" i="11"/>
  <c r="F8" i="11"/>
  <c r="G8" i="11"/>
  <c r="D11" i="11"/>
  <c r="W11" i="11"/>
  <c r="D12" i="11"/>
  <c r="W12" i="11"/>
  <c r="D13" i="11"/>
  <c r="W13" i="11"/>
  <c r="D14" i="11"/>
  <c r="W14" i="11"/>
  <c r="D15" i="11"/>
  <c r="W15" i="11"/>
  <c r="W16" i="11"/>
  <c r="D17" i="11"/>
  <c r="W17" i="11"/>
  <c r="K18" i="20" s="1"/>
  <c r="D18" i="11"/>
  <c r="W18" i="11"/>
  <c r="D19" i="11"/>
  <c r="W19" i="11"/>
  <c r="J20" i="11"/>
  <c r="K20" i="11"/>
  <c r="W20" i="11"/>
  <c r="C2" i="10"/>
  <c r="I2" i="10"/>
  <c r="C3" i="10"/>
  <c r="I3" i="10"/>
  <c r="C4" i="10"/>
  <c r="C5" i="10"/>
  <c r="H6" i="10"/>
  <c r="A11" i="10"/>
  <c r="A12" i="10"/>
  <c r="A13" i="10"/>
  <c r="A14" i="10"/>
  <c r="A15" i="10"/>
  <c r="A16" i="10"/>
  <c r="A17" i="10"/>
  <c r="A18" i="10"/>
  <c r="A19" i="10"/>
  <c r="A20" i="10"/>
  <c r="C8" i="10"/>
  <c r="F8" i="10"/>
  <c r="G8" i="10"/>
  <c r="D11" i="10"/>
  <c r="W11" i="10"/>
  <c r="D12" i="10"/>
  <c r="W12" i="10"/>
  <c r="D13" i="10"/>
  <c r="W13" i="10"/>
  <c r="D14" i="10"/>
  <c r="W14" i="10"/>
  <c r="D15" i="10"/>
  <c r="W15" i="10"/>
  <c r="D16" i="10"/>
  <c r="W16" i="10"/>
  <c r="D17" i="10"/>
  <c r="W17" i="10"/>
  <c r="K17" i="20" s="1"/>
  <c r="D18" i="10"/>
  <c r="W18" i="10"/>
  <c r="D19" i="10"/>
  <c r="J19" i="10"/>
  <c r="K19" i="10"/>
  <c r="W19" i="10"/>
  <c r="D20" i="10"/>
  <c r="J20" i="10"/>
  <c r="M20" i="10" s="1"/>
  <c r="K20" i="10"/>
  <c r="W20" i="10"/>
  <c r="I2" i="9"/>
  <c r="C3" i="9"/>
  <c r="I3" i="9"/>
  <c r="C5" i="9"/>
  <c r="H6" i="9"/>
  <c r="A11" i="9"/>
  <c r="A12" i="9"/>
  <c r="A13" i="9"/>
  <c r="A14" i="9"/>
  <c r="A15" i="9"/>
  <c r="A16" i="9"/>
  <c r="A17" i="9"/>
  <c r="A18" i="9"/>
  <c r="A19" i="9"/>
  <c r="A20" i="9"/>
  <c r="C8" i="9"/>
  <c r="F8" i="9"/>
  <c r="G8" i="9"/>
  <c r="D11" i="9"/>
  <c r="W11" i="9"/>
  <c r="D12" i="9"/>
  <c r="W12" i="9"/>
  <c r="D13" i="9"/>
  <c r="W13" i="9"/>
  <c r="D14" i="9"/>
  <c r="J14" i="9"/>
  <c r="M14" i="9" s="1"/>
  <c r="K14" i="9"/>
  <c r="W14" i="9"/>
  <c r="D15" i="9"/>
  <c r="W15" i="9"/>
  <c r="D16" i="9"/>
  <c r="W16" i="9"/>
  <c r="D17" i="9"/>
  <c r="J17" i="9"/>
  <c r="M17" i="9" s="1"/>
  <c r="K17" i="9"/>
  <c r="W17" i="9"/>
  <c r="K16" i="20" s="1"/>
  <c r="D18" i="9"/>
  <c r="W18" i="9"/>
  <c r="D19" i="9"/>
  <c r="J19" i="9"/>
  <c r="M19" i="9" s="1"/>
  <c r="N19" i="9" s="1"/>
  <c r="O19" i="9" s="1"/>
  <c r="K19" i="9"/>
  <c r="W19" i="9"/>
  <c r="D20" i="9"/>
  <c r="J20" i="9"/>
  <c r="M20" i="9" s="1"/>
  <c r="N20" i="9" s="1"/>
  <c r="O20" i="9" s="1"/>
  <c r="K20" i="9"/>
  <c r="W20" i="9"/>
  <c r="C2" i="8"/>
  <c r="I2" i="8"/>
  <c r="C3" i="8"/>
  <c r="I3" i="8"/>
  <c r="C4" i="8"/>
  <c r="C5" i="8"/>
  <c r="H6" i="8"/>
  <c r="A11" i="8"/>
  <c r="A12" i="8"/>
  <c r="A13" i="8"/>
  <c r="A14" i="8"/>
  <c r="A15" i="8"/>
  <c r="A16" i="8"/>
  <c r="A17" i="8"/>
  <c r="A18" i="8"/>
  <c r="A19" i="8"/>
  <c r="A20" i="8"/>
  <c r="C8" i="8"/>
  <c r="F8" i="8"/>
  <c r="G8" i="8"/>
  <c r="D11" i="8"/>
  <c r="W11" i="8"/>
  <c r="D12" i="8"/>
  <c r="W12" i="8"/>
  <c r="D13" i="8"/>
  <c r="W13" i="8"/>
  <c r="D14" i="8"/>
  <c r="J14" i="8"/>
  <c r="K14" i="8"/>
  <c r="W14" i="8"/>
  <c r="D15" i="8"/>
  <c r="W15" i="8"/>
  <c r="D16" i="8"/>
  <c r="W16" i="8"/>
  <c r="D17" i="8"/>
  <c r="J17" i="8"/>
  <c r="K17" i="8"/>
  <c r="W17" i="8"/>
  <c r="K15" i="20" s="1"/>
  <c r="D18" i="8"/>
  <c r="W18" i="8"/>
  <c r="D19" i="8"/>
  <c r="J19" i="8"/>
  <c r="M19" i="8" s="1"/>
  <c r="K19" i="8"/>
  <c r="W19" i="8"/>
  <c r="D20" i="8"/>
  <c r="J20" i="8"/>
  <c r="M20" i="8" s="1"/>
  <c r="K20" i="8"/>
  <c r="W20" i="8"/>
  <c r="C2" i="7"/>
  <c r="I2" i="7"/>
  <c r="C3" i="7"/>
  <c r="I3" i="7"/>
  <c r="C4" i="7"/>
  <c r="C5" i="7"/>
  <c r="H6" i="7"/>
  <c r="A11" i="7"/>
  <c r="A12" i="7"/>
  <c r="A13" i="7"/>
  <c r="A14" i="7"/>
  <c r="A15" i="7"/>
  <c r="A16" i="7"/>
  <c r="A17" i="7"/>
  <c r="A18" i="7"/>
  <c r="A19" i="7"/>
  <c r="A20" i="7"/>
  <c r="C8" i="7"/>
  <c r="F8" i="7"/>
  <c r="G8" i="7"/>
  <c r="D11" i="7"/>
  <c r="W11" i="7"/>
  <c r="D12" i="7"/>
  <c r="W12" i="7"/>
  <c r="D13" i="7"/>
  <c r="W13" i="7"/>
  <c r="D14" i="7"/>
  <c r="J14" i="7"/>
  <c r="M14" i="7" s="1"/>
  <c r="K14" i="7"/>
  <c r="W14" i="7"/>
  <c r="D15" i="7"/>
  <c r="W15" i="7"/>
  <c r="D16" i="7"/>
  <c r="W16" i="7"/>
  <c r="D17" i="7"/>
  <c r="J17" i="7"/>
  <c r="M17" i="7" s="1"/>
  <c r="N17" i="7" s="1"/>
  <c r="O17" i="7" s="1"/>
  <c r="K17" i="7"/>
  <c r="W17" i="7"/>
  <c r="K14" i="20" s="1"/>
  <c r="D18" i="7"/>
  <c r="W18" i="7"/>
  <c r="D19" i="7"/>
  <c r="J19" i="7"/>
  <c r="M19" i="7" s="1"/>
  <c r="N19" i="7" s="1"/>
  <c r="O19" i="7" s="1"/>
  <c r="K19" i="7"/>
  <c r="W19" i="7"/>
  <c r="D20" i="7"/>
  <c r="J20" i="7"/>
  <c r="M20" i="7" s="1"/>
  <c r="N20" i="7" s="1"/>
  <c r="O20" i="7" s="1"/>
  <c r="K20" i="7"/>
  <c r="W20" i="7"/>
  <c r="C2" i="6"/>
  <c r="I2" i="6"/>
  <c r="C3" i="6"/>
  <c r="I3" i="6"/>
  <c r="C4" i="6"/>
  <c r="C5" i="6"/>
  <c r="H6" i="6"/>
  <c r="A11" i="6"/>
  <c r="A12" i="6"/>
  <c r="A13" i="6"/>
  <c r="A14" i="6"/>
  <c r="A15" i="6"/>
  <c r="A16" i="6"/>
  <c r="A17" i="6"/>
  <c r="A18" i="6"/>
  <c r="A19" i="6"/>
  <c r="A20" i="6"/>
  <c r="C8" i="6"/>
  <c r="F8" i="6"/>
  <c r="G8" i="6"/>
  <c r="D11" i="6"/>
  <c r="W11" i="6"/>
  <c r="D12" i="6"/>
  <c r="W12" i="6"/>
  <c r="D13" i="6"/>
  <c r="W13" i="6"/>
  <c r="D14" i="6"/>
  <c r="J14" i="6"/>
  <c r="M14" i="6" s="1"/>
  <c r="K14" i="6"/>
  <c r="W14" i="6"/>
  <c r="D15" i="6"/>
  <c r="W15" i="6"/>
  <c r="D16" i="6"/>
  <c r="W16" i="6"/>
  <c r="W17" i="6"/>
  <c r="K13" i="20" s="1"/>
  <c r="G49" i="15" s="1"/>
  <c r="W18" i="6"/>
  <c r="J19" i="6"/>
  <c r="M19" i="6" s="1"/>
  <c r="N19" i="6" s="1"/>
  <c r="O19" i="6" s="1"/>
  <c r="K19" i="6"/>
  <c r="W19" i="6"/>
  <c r="D20" i="6"/>
  <c r="J20" i="6"/>
  <c r="M20" i="6" s="1"/>
  <c r="N20" i="6" s="1"/>
  <c r="O20" i="6" s="1"/>
  <c r="K20" i="6"/>
  <c r="L20" i="6" s="1"/>
  <c r="W20" i="6"/>
  <c r="C2" i="5"/>
  <c r="I2" i="5"/>
  <c r="C3" i="5"/>
  <c r="I3" i="5"/>
  <c r="C4" i="5"/>
  <c r="C5" i="5"/>
  <c r="H6" i="5"/>
  <c r="A11" i="5"/>
  <c r="A12" i="5"/>
  <c r="A13" i="5"/>
  <c r="A14" i="5"/>
  <c r="A15" i="5"/>
  <c r="A16" i="5"/>
  <c r="A17" i="5"/>
  <c r="A18" i="5"/>
  <c r="A19" i="5"/>
  <c r="A20" i="5"/>
  <c r="C8" i="5"/>
  <c r="F8" i="5"/>
  <c r="G8" i="5"/>
  <c r="D11" i="5"/>
  <c r="W11" i="5"/>
  <c r="D12" i="5"/>
  <c r="W12" i="5"/>
  <c r="D13" i="5"/>
  <c r="W13" i="5"/>
  <c r="D14" i="5"/>
  <c r="W14" i="5"/>
  <c r="D15" i="5"/>
  <c r="W15" i="5"/>
  <c r="W16" i="5"/>
  <c r="W17" i="5"/>
  <c r="K12" i="20" s="1"/>
  <c r="W18" i="5"/>
  <c r="J19" i="5"/>
  <c r="K19" i="5"/>
  <c r="W19" i="5"/>
  <c r="D20" i="5"/>
  <c r="J20" i="5"/>
  <c r="M20" i="5" s="1"/>
  <c r="N20" i="5" s="1"/>
  <c r="O20" i="5" s="1"/>
  <c r="K20" i="5"/>
  <c r="W20" i="5"/>
  <c r="C2" i="4"/>
  <c r="I2" i="4"/>
  <c r="C3" i="4"/>
  <c r="I3" i="4"/>
  <c r="C4" i="4"/>
  <c r="C5" i="4"/>
  <c r="H6" i="4"/>
  <c r="A11" i="4"/>
  <c r="A12" i="4"/>
  <c r="A13" i="4"/>
  <c r="A14" i="4"/>
  <c r="A15" i="4"/>
  <c r="A16" i="4"/>
  <c r="A17" i="4"/>
  <c r="A18" i="4"/>
  <c r="A19" i="4"/>
  <c r="A20" i="4"/>
  <c r="C8" i="4"/>
  <c r="F8" i="4"/>
  <c r="G8" i="4"/>
  <c r="D11" i="4"/>
  <c r="W11" i="4"/>
  <c r="D12" i="4"/>
  <c r="W12" i="4"/>
  <c r="D13" i="4"/>
  <c r="W13" i="4"/>
  <c r="D14" i="4"/>
  <c r="W14" i="4"/>
  <c r="D15" i="4"/>
  <c r="W15" i="4"/>
  <c r="W16" i="4"/>
  <c r="W17" i="4"/>
  <c r="K11" i="20" s="1"/>
  <c r="W18" i="4"/>
  <c r="J19" i="4"/>
  <c r="K19" i="4"/>
  <c r="W19" i="4"/>
  <c r="J20" i="4"/>
  <c r="L20" i="4" s="1"/>
  <c r="K20" i="4"/>
  <c r="W20" i="4"/>
  <c r="I2" i="3"/>
  <c r="C3" i="3"/>
  <c r="I3" i="3"/>
  <c r="C4" i="3"/>
  <c r="C5" i="3"/>
  <c r="H6" i="3"/>
  <c r="C8" i="3"/>
  <c r="F8" i="3"/>
  <c r="G8" i="3"/>
  <c r="D11" i="3"/>
  <c r="D12" i="3"/>
  <c r="D13" i="3"/>
  <c r="D14" i="3"/>
  <c r="D15" i="3"/>
  <c r="D18" i="3"/>
  <c r="D19" i="3"/>
  <c r="D21" i="3"/>
  <c r="L19" i="13" l="1"/>
  <c r="L12" i="9"/>
  <c r="L13" i="5"/>
  <c r="E12" i="20"/>
  <c r="N12" i="20" s="1"/>
  <c r="Q18" i="4"/>
  <c r="T18" i="4" s="1"/>
  <c r="S18" i="4"/>
  <c r="Q18" i="7"/>
  <c r="T18" i="7" s="1"/>
  <c r="S18" i="7"/>
  <c r="L19" i="5"/>
  <c r="L20" i="8"/>
  <c r="L19" i="8"/>
  <c r="L14" i="4"/>
  <c r="A8" i="11"/>
  <c r="L18" i="4"/>
  <c r="K18" i="17" s="1"/>
  <c r="L17" i="10"/>
  <c r="L16" i="11"/>
  <c r="L15" i="13"/>
  <c r="L13" i="10"/>
  <c r="M18" i="13"/>
  <c r="N18" i="13" s="1"/>
  <c r="O18" i="13" s="1"/>
  <c r="P18" i="13" s="1"/>
  <c r="Q18" i="13" s="1"/>
  <c r="T18" i="13" s="1"/>
  <c r="L15" i="4"/>
  <c r="L14" i="3"/>
  <c r="M17" i="10"/>
  <c r="N17" i="10" s="1"/>
  <c r="O17" i="10" s="1"/>
  <c r="R17" i="10" s="1"/>
  <c r="L18" i="9"/>
  <c r="J18" i="17"/>
  <c r="L15" i="6"/>
  <c r="M18" i="6"/>
  <c r="N18" i="6" s="1"/>
  <c r="O18" i="6" s="1"/>
  <c r="P18" i="6" s="1"/>
  <c r="S18" i="6" s="1"/>
  <c r="L14" i="14"/>
  <c r="L19" i="6"/>
  <c r="J8" i="12"/>
  <c r="L11" i="3"/>
  <c r="K11" i="17" s="1"/>
  <c r="L12" i="3"/>
  <c r="J8" i="3"/>
  <c r="I11" i="17"/>
  <c r="K8" i="3"/>
  <c r="L20" i="10"/>
  <c r="L16" i="10"/>
  <c r="G11" i="19"/>
  <c r="L17" i="20"/>
  <c r="N17" i="20" s="1"/>
  <c r="Q18" i="9"/>
  <c r="T18" i="9" s="1"/>
  <c r="S18" i="9"/>
  <c r="L16" i="9"/>
  <c r="L16" i="20"/>
  <c r="L13" i="9"/>
  <c r="M16" i="9"/>
  <c r="N16" i="9" s="1"/>
  <c r="O16" i="9" s="1"/>
  <c r="R16" i="9" s="1"/>
  <c r="E16" i="20"/>
  <c r="L16" i="8"/>
  <c r="L15" i="8"/>
  <c r="J13" i="17"/>
  <c r="L13" i="8"/>
  <c r="E15" i="20"/>
  <c r="M18" i="8"/>
  <c r="N18" i="8" s="1"/>
  <c r="O18" i="8" s="1"/>
  <c r="P18" i="8" s="1"/>
  <c r="S18" i="8" s="1"/>
  <c r="L15" i="20"/>
  <c r="L14" i="8"/>
  <c r="L16" i="7"/>
  <c r="E13" i="20"/>
  <c r="N13" i="20" s="1"/>
  <c r="L16" i="6"/>
  <c r="L12" i="5"/>
  <c r="L15" i="5"/>
  <c r="J12" i="17"/>
  <c r="L12" i="4"/>
  <c r="L10" i="20"/>
  <c r="N10" i="20" s="1"/>
  <c r="O10" i="20" s="1"/>
  <c r="J8" i="14"/>
  <c r="L15" i="14"/>
  <c r="J15" i="17"/>
  <c r="E21" i="20"/>
  <c r="L21" i="20"/>
  <c r="L18" i="14"/>
  <c r="J8" i="13"/>
  <c r="L11" i="13"/>
  <c r="L16" i="13"/>
  <c r="L20" i="13"/>
  <c r="I15" i="17"/>
  <c r="I18" i="17"/>
  <c r="G19" i="20"/>
  <c r="L16" i="12"/>
  <c r="L18" i="12"/>
  <c r="L13" i="12"/>
  <c r="G12" i="19"/>
  <c r="L19" i="11"/>
  <c r="Q18" i="11"/>
  <c r="T18" i="11" s="1"/>
  <c r="S18" i="11"/>
  <c r="L18" i="11"/>
  <c r="J16" i="17"/>
  <c r="I16" i="17"/>
  <c r="L15" i="11"/>
  <c r="G13" i="19"/>
  <c r="K8" i="11"/>
  <c r="J8" i="11"/>
  <c r="L13" i="11"/>
  <c r="I13" i="17"/>
  <c r="E22" i="19"/>
  <c r="J11" i="17"/>
  <c r="N19" i="20"/>
  <c r="D26" i="15"/>
  <c r="H26" i="15" s="1"/>
  <c r="H38" i="15" s="1"/>
  <c r="G45" i="15" s="1"/>
  <c r="D22" i="20"/>
  <c r="D9" i="15"/>
  <c r="N16" i="11"/>
  <c r="O16" i="11" s="1"/>
  <c r="R16" i="11" s="1"/>
  <c r="Q16" i="11"/>
  <c r="T16" i="11" s="1"/>
  <c r="N16" i="7"/>
  <c r="O16" i="7" s="1"/>
  <c r="R16" i="7" s="1"/>
  <c r="N17" i="13"/>
  <c r="O17" i="13" s="1"/>
  <c r="P17" i="13" s="1"/>
  <c r="G20" i="20"/>
  <c r="N17" i="5"/>
  <c r="O17" i="5" s="1"/>
  <c r="P17" i="5" s="1"/>
  <c r="G12" i="20"/>
  <c r="N11" i="11"/>
  <c r="O11" i="11" s="1"/>
  <c r="R11" i="11" s="1"/>
  <c r="N11" i="7"/>
  <c r="O11" i="7" s="1"/>
  <c r="R11" i="7" s="1"/>
  <c r="H24" i="7"/>
  <c r="N11" i="3"/>
  <c r="O11" i="3" s="1"/>
  <c r="R11" i="3" s="1"/>
  <c r="K11" i="18"/>
  <c r="I11" i="18"/>
  <c r="H25" i="3"/>
  <c r="G25" i="3"/>
  <c r="F25" i="3"/>
  <c r="J25" i="3"/>
  <c r="N13" i="3"/>
  <c r="O13" i="3" s="1"/>
  <c r="R13" i="3" s="1"/>
  <c r="H13" i="19"/>
  <c r="N17" i="11"/>
  <c r="O17" i="11" s="1"/>
  <c r="G18" i="20"/>
  <c r="N11" i="9"/>
  <c r="O11" i="9" s="1"/>
  <c r="P11" i="9" s="1"/>
  <c r="N17" i="3"/>
  <c r="O17" i="3" s="1"/>
  <c r="R17" i="3" s="1"/>
  <c r="G10" i="20"/>
  <c r="A8" i="8"/>
  <c r="K8" i="10"/>
  <c r="J19" i="17"/>
  <c r="L20" i="5"/>
  <c r="J14" i="17"/>
  <c r="L20" i="7"/>
  <c r="L17" i="7"/>
  <c r="L19" i="9"/>
  <c r="M20" i="11"/>
  <c r="I19" i="18" s="1"/>
  <c r="L20" i="14"/>
  <c r="M19" i="14"/>
  <c r="H24" i="14" s="1"/>
  <c r="L17" i="13"/>
  <c r="L17" i="5"/>
  <c r="L16" i="5"/>
  <c r="L13" i="4"/>
  <c r="I12" i="17"/>
  <c r="G16" i="19"/>
  <c r="F15" i="19"/>
  <c r="S12" i="5"/>
  <c r="E20" i="20"/>
  <c r="N20" i="20" s="1"/>
  <c r="E18" i="20"/>
  <c r="N18" i="20" s="1"/>
  <c r="G13" i="20"/>
  <c r="G21" i="20"/>
  <c r="S12" i="3"/>
  <c r="F13" i="19"/>
  <c r="L20" i="12"/>
  <c r="M19" i="12"/>
  <c r="F24" i="12" s="1"/>
  <c r="N15" i="14"/>
  <c r="O15" i="14" s="1"/>
  <c r="N15" i="12"/>
  <c r="O15" i="12" s="1"/>
  <c r="H24" i="12"/>
  <c r="R15" i="10"/>
  <c r="P15" i="10"/>
  <c r="R15" i="8"/>
  <c r="P15" i="8"/>
  <c r="R15" i="6"/>
  <c r="P15" i="6"/>
  <c r="R14" i="12"/>
  <c r="P14" i="12"/>
  <c r="R14" i="4"/>
  <c r="P14" i="4"/>
  <c r="Q12" i="4"/>
  <c r="T12" i="4" s="1"/>
  <c r="S12" i="4"/>
  <c r="Q18" i="14"/>
  <c r="T18" i="14" s="1"/>
  <c r="S18" i="14"/>
  <c r="Q18" i="12"/>
  <c r="T18" i="12" s="1"/>
  <c r="S18" i="12"/>
  <c r="Q18" i="10"/>
  <c r="T18" i="10" s="1"/>
  <c r="S18" i="10"/>
  <c r="Q18" i="8"/>
  <c r="T18" i="8" s="1"/>
  <c r="Q18" i="5"/>
  <c r="T18" i="5" s="1"/>
  <c r="S18" i="5"/>
  <c r="Q18" i="6"/>
  <c r="T18" i="6" s="1"/>
  <c r="R14" i="14"/>
  <c r="P14" i="14"/>
  <c r="R14" i="10"/>
  <c r="P14" i="10"/>
  <c r="K8" i="5"/>
  <c r="W8" i="6"/>
  <c r="I15" i="18"/>
  <c r="J8" i="7"/>
  <c r="J8" i="8"/>
  <c r="W8" i="8"/>
  <c r="W8" i="9"/>
  <c r="K8" i="9"/>
  <c r="A8" i="10"/>
  <c r="W8" i="11"/>
  <c r="H20" i="18"/>
  <c r="W8" i="13"/>
  <c r="H22" i="18"/>
  <c r="F16" i="19"/>
  <c r="F12" i="19"/>
  <c r="F11" i="19"/>
  <c r="J20" i="17"/>
  <c r="L19" i="4"/>
  <c r="K8" i="4"/>
  <c r="A8" i="6"/>
  <c r="F24" i="7"/>
  <c r="L19" i="7"/>
  <c r="W8" i="7"/>
  <c r="K8" i="7"/>
  <c r="L17" i="8"/>
  <c r="K8" i="8"/>
  <c r="H24" i="9"/>
  <c r="L20" i="9"/>
  <c r="J8" i="9"/>
  <c r="L19" i="10"/>
  <c r="J8" i="10"/>
  <c r="W8" i="10"/>
  <c r="W8" i="12"/>
  <c r="K8" i="12"/>
  <c r="K8" i="13"/>
  <c r="A8" i="13"/>
  <c r="W8" i="14"/>
  <c r="K8" i="14"/>
  <c r="F9" i="15"/>
  <c r="B9" i="15"/>
  <c r="M15" i="4"/>
  <c r="G15" i="19"/>
  <c r="S12" i="14"/>
  <c r="S12" i="13"/>
  <c r="S12" i="12"/>
  <c r="S12" i="11"/>
  <c r="S12" i="10"/>
  <c r="S12" i="9"/>
  <c r="S12" i="8"/>
  <c r="S12" i="7"/>
  <c r="S12" i="6"/>
  <c r="H11" i="19"/>
  <c r="F11" i="20"/>
  <c r="A8" i="7"/>
  <c r="A8" i="14"/>
  <c r="N11" i="20"/>
  <c r="A8" i="9"/>
  <c r="A8" i="12"/>
  <c r="P20" i="5"/>
  <c r="R20" i="5"/>
  <c r="P20" i="6"/>
  <c r="R20" i="6"/>
  <c r="I19" i="17"/>
  <c r="J8" i="4"/>
  <c r="M19" i="4"/>
  <c r="H19" i="19" s="1"/>
  <c r="J8" i="5"/>
  <c r="M19" i="5"/>
  <c r="P19" i="6"/>
  <c r="R19" i="6"/>
  <c r="P20" i="7"/>
  <c r="R20" i="7"/>
  <c r="P17" i="7"/>
  <c r="R17" i="7"/>
  <c r="N20" i="8"/>
  <c r="O20" i="8" s="1"/>
  <c r="P19" i="9"/>
  <c r="R19" i="9"/>
  <c r="P20" i="14"/>
  <c r="R20" i="14"/>
  <c r="W8" i="4"/>
  <c r="W8" i="5"/>
  <c r="J24" i="6"/>
  <c r="I20" i="17"/>
  <c r="M20" i="4"/>
  <c r="P19" i="7"/>
  <c r="R19" i="7"/>
  <c r="N19" i="8"/>
  <c r="O19" i="8" s="1"/>
  <c r="P20" i="9"/>
  <c r="R20" i="9"/>
  <c r="N20" i="10"/>
  <c r="O20" i="10" s="1"/>
  <c r="P20" i="12"/>
  <c r="R20" i="12"/>
  <c r="N20" i="13"/>
  <c r="O20" i="13" s="1"/>
  <c r="E11" i="17"/>
  <c r="D12" i="17"/>
  <c r="D13" i="17" s="1"/>
  <c r="P21" i="3"/>
  <c r="R21" i="3"/>
  <c r="P19" i="3"/>
  <c r="R19" i="3"/>
  <c r="A8" i="4"/>
  <c r="A8" i="5"/>
  <c r="F17" i="19"/>
  <c r="K27" i="21" s="1"/>
  <c r="E14" i="20"/>
  <c r="J8" i="6"/>
  <c r="H24" i="6"/>
  <c r="N14" i="6"/>
  <c r="L14" i="6"/>
  <c r="F14" i="19"/>
  <c r="K8" i="6"/>
  <c r="J24" i="7"/>
  <c r="G24" i="7"/>
  <c r="N14" i="7"/>
  <c r="L14" i="7"/>
  <c r="M17" i="8"/>
  <c r="H17" i="19" s="1"/>
  <c r="M14" i="8"/>
  <c r="N17" i="9"/>
  <c r="O17" i="9" s="1"/>
  <c r="L17" i="9"/>
  <c r="N14" i="9"/>
  <c r="L14" i="9"/>
  <c r="L8" i="9" s="1"/>
  <c r="M19" i="10"/>
  <c r="L20" i="11"/>
  <c r="L8" i="11" s="1"/>
  <c r="J24" i="12"/>
  <c r="G24" i="12"/>
  <c r="N19" i="12"/>
  <c r="O19" i="12" s="1"/>
  <c r="L19" i="12"/>
  <c r="M19" i="13"/>
  <c r="J24" i="14"/>
  <c r="G24" i="14"/>
  <c r="L19" i="14"/>
  <c r="G43" i="15"/>
  <c r="K22" i="20"/>
  <c r="H22" i="17"/>
  <c r="I17" i="17"/>
  <c r="K22" i="18"/>
  <c r="I22" i="18"/>
  <c r="K20" i="18"/>
  <c r="I20" i="18"/>
  <c r="J17" i="18"/>
  <c r="J15" i="18"/>
  <c r="H15" i="18"/>
  <c r="J11" i="18"/>
  <c r="H11" i="18"/>
  <c r="M8" i="3"/>
  <c r="D11" i="18" s="1"/>
  <c r="G20" i="19"/>
  <c r="G19" i="19"/>
  <c r="R18" i="14"/>
  <c r="R18" i="13"/>
  <c r="R18" i="12"/>
  <c r="R18" i="11"/>
  <c r="U18" i="11" s="1"/>
  <c r="V18" i="11" s="1"/>
  <c r="X18" i="11" s="1"/>
  <c r="T18" i="16" s="1"/>
  <c r="R18" i="10"/>
  <c r="R18" i="9"/>
  <c r="R18" i="8"/>
  <c r="R18" i="7"/>
  <c r="U18" i="7" s="1"/>
  <c r="V18" i="7" s="1"/>
  <c r="X18" i="7" s="1"/>
  <c r="R18" i="5"/>
  <c r="R18" i="4"/>
  <c r="F18" i="19"/>
  <c r="P16" i="13"/>
  <c r="S16" i="13" s="1"/>
  <c r="P16" i="9"/>
  <c r="S16" i="9" s="1"/>
  <c r="P16" i="7"/>
  <c r="S16" i="7" s="1"/>
  <c r="G14" i="19"/>
  <c r="G14" i="20"/>
  <c r="G17" i="19"/>
  <c r="H27" i="21" s="1"/>
  <c r="L14" i="20"/>
  <c r="P16" i="5"/>
  <c r="R16" i="5"/>
  <c r="N16" i="14"/>
  <c r="N16" i="12"/>
  <c r="N16" i="10"/>
  <c r="N16" i="8"/>
  <c r="O16" i="8" s="1"/>
  <c r="N16" i="6"/>
  <c r="O16" i="6" s="1"/>
  <c r="P15" i="13"/>
  <c r="R15" i="13"/>
  <c r="P15" i="11"/>
  <c r="R15" i="11"/>
  <c r="P15" i="9"/>
  <c r="R15" i="9"/>
  <c r="P15" i="7"/>
  <c r="R15" i="7"/>
  <c r="P15" i="5"/>
  <c r="R15" i="5"/>
  <c r="P15" i="3"/>
  <c r="R15" i="3"/>
  <c r="P14" i="13"/>
  <c r="R14" i="13"/>
  <c r="P14" i="11"/>
  <c r="R14" i="11"/>
  <c r="P14" i="5"/>
  <c r="R14" i="5"/>
  <c r="P14" i="3"/>
  <c r="R14" i="3"/>
  <c r="M8" i="7"/>
  <c r="M8" i="12"/>
  <c r="M8" i="14"/>
  <c r="J17" i="17"/>
  <c r="I14" i="17"/>
  <c r="J20" i="18"/>
  <c r="K17" i="18"/>
  <c r="K15" i="18"/>
  <c r="F20" i="19"/>
  <c r="F19" i="19"/>
  <c r="G18" i="19"/>
  <c r="P11" i="14"/>
  <c r="R11" i="14"/>
  <c r="P11" i="12"/>
  <c r="R11" i="12"/>
  <c r="P11" i="10"/>
  <c r="R11" i="10"/>
  <c r="P11" i="8"/>
  <c r="R11" i="8"/>
  <c r="P11" i="6"/>
  <c r="R11" i="6"/>
  <c r="N18" i="3"/>
  <c r="R13" i="12"/>
  <c r="P13" i="12"/>
  <c r="P13" i="11"/>
  <c r="R13" i="11"/>
  <c r="R13" i="8"/>
  <c r="P13" i="8"/>
  <c r="P13" i="7"/>
  <c r="R13" i="7"/>
  <c r="R13" i="4"/>
  <c r="P13" i="4"/>
  <c r="P17" i="12"/>
  <c r="R17" i="12"/>
  <c r="P17" i="4"/>
  <c r="R17" i="4"/>
  <c r="M16" i="4"/>
  <c r="G11" i="20" s="1"/>
  <c r="R12" i="14"/>
  <c r="R12" i="13"/>
  <c r="R12" i="12"/>
  <c r="R12" i="11"/>
  <c r="U12" i="11" s="1"/>
  <c r="V12" i="11" s="1"/>
  <c r="X12" i="11" s="1"/>
  <c r="T12" i="16" s="1"/>
  <c r="R12" i="10"/>
  <c r="R12" i="9"/>
  <c r="R12" i="8"/>
  <c r="R12" i="7"/>
  <c r="U12" i="7" s="1"/>
  <c r="V12" i="7" s="1"/>
  <c r="X12" i="7" s="1"/>
  <c r="R12" i="6"/>
  <c r="R12" i="5"/>
  <c r="U12" i="5" s="1"/>
  <c r="V12" i="5" s="1"/>
  <c r="X12" i="5" s="1"/>
  <c r="R12" i="4"/>
  <c r="R12" i="3"/>
  <c r="H12" i="19"/>
  <c r="P11" i="13"/>
  <c r="R11" i="13"/>
  <c r="P11" i="7"/>
  <c r="P11" i="4"/>
  <c r="R11" i="4"/>
  <c r="P11" i="5"/>
  <c r="R11" i="5"/>
  <c r="P11" i="3"/>
  <c r="P19" i="11"/>
  <c r="R19" i="11"/>
  <c r="R13" i="14"/>
  <c r="P13" i="14"/>
  <c r="P13" i="13"/>
  <c r="R13" i="13"/>
  <c r="R13" i="10"/>
  <c r="P13" i="10"/>
  <c r="P13" i="9"/>
  <c r="R13" i="9"/>
  <c r="R13" i="6"/>
  <c r="P13" i="6"/>
  <c r="P13" i="5"/>
  <c r="R13" i="5"/>
  <c r="P17" i="14"/>
  <c r="R17" i="14"/>
  <c r="R17" i="11"/>
  <c r="P17" i="11"/>
  <c r="R17" i="6"/>
  <c r="P17" i="6"/>
  <c r="N9" i="22"/>
  <c r="P16" i="3"/>
  <c r="R16" i="3"/>
  <c r="F12" i="20" l="1"/>
  <c r="R11" i="9"/>
  <c r="N20" i="11"/>
  <c r="O20" i="11" s="1"/>
  <c r="G24" i="6"/>
  <c r="L24" i="6" s="1"/>
  <c r="R17" i="5"/>
  <c r="P17" i="10"/>
  <c r="H20" i="19"/>
  <c r="J19" i="18"/>
  <c r="M8" i="6"/>
  <c r="F24" i="6"/>
  <c r="L8" i="3"/>
  <c r="G17" i="20"/>
  <c r="H14" i="18"/>
  <c r="R18" i="6"/>
  <c r="I14" i="18"/>
  <c r="L14" i="18" s="1"/>
  <c r="J14" i="18"/>
  <c r="U18" i="4"/>
  <c r="V18" i="4" s="1"/>
  <c r="X18" i="4" s="1"/>
  <c r="K14" i="18"/>
  <c r="H19" i="18"/>
  <c r="L19" i="18" s="1"/>
  <c r="G24" i="11"/>
  <c r="H18" i="19"/>
  <c r="U12" i="9"/>
  <c r="V12" i="9" s="1"/>
  <c r="X12" i="9" s="1"/>
  <c r="U12" i="13"/>
  <c r="V12" i="13" s="1"/>
  <c r="X12" i="13" s="1"/>
  <c r="P17" i="3"/>
  <c r="Q17" i="3" s="1"/>
  <c r="T17" i="3" s="1"/>
  <c r="H24" i="11"/>
  <c r="F24" i="11"/>
  <c r="K15" i="17"/>
  <c r="L8" i="13"/>
  <c r="S18" i="13"/>
  <c r="U18" i="13" s="1"/>
  <c r="V18" i="13" s="1"/>
  <c r="X18" i="13" s="1"/>
  <c r="U12" i="8"/>
  <c r="V12" i="8" s="1"/>
  <c r="X12" i="8" s="1"/>
  <c r="U12" i="12"/>
  <c r="V12" i="12" s="1"/>
  <c r="X12" i="12" s="1"/>
  <c r="K19" i="18"/>
  <c r="M8" i="11"/>
  <c r="J24" i="11"/>
  <c r="K17" i="17"/>
  <c r="L8" i="4"/>
  <c r="N15" i="20"/>
  <c r="K12" i="17"/>
  <c r="N16" i="20"/>
  <c r="F13" i="20"/>
  <c r="F14" i="20" s="1"/>
  <c r="F15" i="20" s="1"/>
  <c r="F16" i="20" s="1"/>
  <c r="F17" i="20" s="1"/>
  <c r="F18" i="20" s="1"/>
  <c r="F19" i="20" s="1"/>
  <c r="F20" i="20" s="1"/>
  <c r="F21" i="20" s="1"/>
  <c r="F22" i="20" s="1"/>
  <c r="L8" i="10"/>
  <c r="M8" i="9"/>
  <c r="H17" i="18"/>
  <c r="L17" i="18" s="1"/>
  <c r="J24" i="9"/>
  <c r="L24" i="9" s="1"/>
  <c r="G16" i="20"/>
  <c r="U18" i="9"/>
  <c r="V18" i="9" s="1"/>
  <c r="X18" i="9" s="1"/>
  <c r="G24" i="9"/>
  <c r="Q16" i="9"/>
  <c r="T16" i="9" s="1"/>
  <c r="U16" i="9" s="1"/>
  <c r="V16" i="9" s="1"/>
  <c r="X16" i="9" s="1"/>
  <c r="I17" i="18"/>
  <c r="F24" i="9"/>
  <c r="K13" i="17"/>
  <c r="L8" i="8"/>
  <c r="Q16" i="7"/>
  <c r="T16" i="7" s="1"/>
  <c r="U16" i="7" s="1"/>
  <c r="V16" i="7" s="1"/>
  <c r="X16" i="7" s="1"/>
  <c r="K16" i="17"/>
  <c r="N21" i="20"/>
  <c r="U12" i="4"/>
  <c r="V12" i="4" s="1"/>
  <c r="X12" i="4" s="1"/>
  <c r="S16" i="3"/>
  <c r="Q16" i="3"/>
  <c r="T16" i="3" s="1"/>
  <c r="U12" i="3"/>
  <c r="V12" i="3" s="1"/>
  <c r="M10" i="20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L25" i="3"/>
  <c r="Q16" i="13"/>
  <c r="T16" i="13" s="1"/>
  <c r="U16" i="13" s="1"/>
  <c r="V16" i="13" s="1"/>
  <c r="X16" i="13" s="1"/>
  <c r="R17" i="13"/>
  <c r="L24" i="12"/>
  <c r="J22" i="17"/>
  <c r="N7" i="22"/>
  <c r="N10" i="22" s="1"/>
  <c r="G47" i="15"/>
  <c r="G51" i="15" s="1"/>
  <c r="O11" i="20"/>
  <c r="O12" i="20" s="1"/>
  <c r="O13" i="20" s="1"/>
  <c r="P11" i="11"/>
  <c r="S11" i="11" s="1"/>
  <c r="P13" i="3"/>
  <c r="Q13" i="3" s="1"/>
  <c r="T13" i="3" s="1"/>
  <c r="I22" i="17"/>
  <c r="N19" i="14"/>
  <c r="O19" i="14" s="1"/>
  <c r="P19" i="14" s="1"/>
  <c r="L8" i="12"/>
  <c r="F24" i="14"/>
  <c r="U18" i="5"/>
  <c r="V18" i="5" s="1"/>
  <c r="X18" i="5" s="1"/>
  <c r="U18" i="10"/>
  <c r="V18" i="10" s="1"/>
  <c r="X18" i="10" s="1"/>
  <c r="U18" i="14"/>
  <c r="V18" i="14" s="1"/>
  <c r="X18" i="14" s="1"/>
  <c r="U12" i="6"/>
  <c r="V12" i="6" s="1"/>
  <c r="X12" i="6" s="1"/>
  <c r="U12" i="10"/>
  <c r="V12" i="10" s="1"/>
  <c r="X12" i="10" s="1"/>
  <c r="U12" i="14"/>
  <c r="V12" i="14" s="1"/>
  <c r="X12" i="14" s="1"/>
  <c r="J22" i="18"/>
  <c r="L22" i="18" s="1"/>
  <c r="P16" i="11"/>
  <c r="S16" i="11" s="1"/>
  <c r="U16" i="11" s="1"/>
  <c r="V16" i="11" s="1"/>
  <c r="X16" i="11" s="1"/>
  <c r="T16" i="16" s="1"/>
  <c r="U18" i="6"/>
  <c r="V18" i="6" s="1"/>
  <c r="X18" i="6" s="1"/>
  <c r="U18" i="8"/>
  <c r="V18" i="8" s="1"/>
  <c r="X18" i="8" s="1"/>
  <c r="U18" i="12"/>
  <c r="V18" i="12" s="1"/>
  <c r="X18" i="12" s="1"/>
  <c r="L8" i="14"/>
  <c r="L8" i="7"/>
  <c r="L8" i="5"/>
  <c r="N15" i="4"/>
  <c r="O15" i="4" s="1"/>
  <c r="H15" i="19"/>
  <c r="R15" i="14"/>
  <c r="P15" i="14"/>
  <c r="S14" i="10"/>
  <c r="Q14" i="10"/>
  <c r="T14" i="10" s="1"/>
  <c r="S14" i="14"/>
  <c r="Q14" i="14"/>
  <c r="T14" i="14" s="1"/>
  <c r="S14" i="4"/>
  <c r="Q14" i="4"/>
  <c r="T14" i="4" s="1"/>
  <c r="S14" i="12"/>
  <c r="Q14" i="12"/>
  <c r="T14" i="12" s="1"/>
  <c r="S15" i="6"/>
  <c r="Q15" i="6"/>
  <c r="T15" i="6" s="1"/>
  <c r="S15" i="8"/>
  <c r="Q15" i="8"/>
  <c r="T15" i="8" s="1"/>
  <c r="S15" i="10"/>
  <c r="Q15" i="10"/>
  <c r="T15" i="10" s="1"/>
  <c r="R15" i="12"/>
  <c r="P15" i="12"/>
  <c r="L24" i="7"/>
  <c r="L20" i="18"/>
  <c r="S17" i="11"/>
  <c r="Q17" i="11"/>
  <c r="T17" i="11" s="1"/>
  <c r="S13" i="10"/>
  <c r="Q13" i="10"/>
  <c r="T13" i="10" s="1"/>
  <c r="S13" i="14"/>
  <c r="Q13" i="14"/>
  <c r="T13" i="14" s="1"/>
  <c r="U13" i="14" s="1"/>
  <c r="V13" i="14" s="1"/>
  <c r="X13" i="14" s="1"/>
  <c r="H16" i="19"/>
  <c r="N16" i="4"/>
  <c r="M8" i="4"/>
  <c r="D12" i="18" s="1"/>
  <c r="H12" i="18"/>
  <c r="J12" i="18"/>
  <c r="I12" i="18"/>
  <c r="K12" i="18"/>
  <c r="F24" i="4"/>
  <c r="H24" i="4"/>
  <c r="J24" i="4"/>
  <c r="G24" i="4"/>
  <c r="S17" i="3"/>
  <c r="Q17" i="4"/>
  <c r="T17" i="4" s="1"/>
  <c r="S17" i="4"/>
  <c r="U17" i="4" s="1"/>
  <c r="Q17" i="12"/>
  <c r="T17" i="12" s="1"/>
  <c r="S17" i="12"/>
  <c r="Q13" i="7"/>
  <c r="T13" i="7" s="1"/>
  <c r="S13" i="7"/>
  <c r="Q13" i="11"/>
  <c r="T13" i="11" s="1"/>
  <c r="S13" i="11"/>
  <c r="O18" i="3"/>
  <c r="N8" i="3"/>
  <c r="Q11" i="6"/>
  <c r="S11" i="6"/>
  <c r="Q11" i="8"/>
  <c r="S11" i="8"/>
  <c r="Q11" i="10"/>
  <c r="S11" i="10"/>
  <c r="Q11" i="12"/>
  <c r="S11" i="12"/>
  <c r="Q11" i="14"/>
  <c r="S11" i="14"/>
  <c r="Q14" i="3"/>
  <c r="T14" i="3" s="1"/>
  <c r="S14" i="3"/>
  <c r="Q14" i="5"/>
  <c r="T14" i="5" s="1"/>
  <c r="S14" i="5"/>
  <c r="Q14" i="11"/>
  <c r="T14" i="11" s="1"/>
  <c r="S14" i="11"/>
  <c r="Q14" i="13"/>
  <c r="T14" i="13" s="1"/>
  <c r="S14" i="13"/>
  <c r="Q15" i="3"/>
  <c r="T15" i="3" s="1"/>
  <c r="S15" i="3"/>
  <c r="Q15" i="5"/>
  <c r="T15" i="5" s="1"/>
  <c r="S15" i="5"/>
  <c r="Q15" i="7"/>
  <c r="T15" i="7" s="1"/>
  <c r="S15" i="7"/>
  <c r="Q15" i="9"/>
  <c r="T15" i="9" s="1"/>
  <c r="S15" i="9"/>
  <c r="Q15" i="11"/>
  <c r="T15" i="11" s="1"/>
  <c r="S15" i="11"/>
  <c r="Q15" i="13"/>
  <c r="T15" i="13" s="1"/>
  <c r="S15" i="13"/>
  <c r="P16" i="6"/>
  <c r="R16" i="6"/>
  <c r="N8" i="11"/>
  <c r="H18" i="18"/>
  <c r="J18" i="18"/>
  <c r="N19" i="10"/>
  <c r="O19" i="10" s="1"/>
  <c r="G24" i="10"/>
  <c r="J24" i="10"/>
  <c r="I18" i="18"/>
  <c r="K18" i="18"/>
  <c r="M8" i="10"/>
  <c r="F24" i="10"/>
  <c r="H24" i="10"/>
  <c r="O14" i="9"/>
  <c r="N8" i="9"/>
  <c r="P17" i="9"/>
  <c r="R17" i="9"/>
  <c r="H16" i="18"/>
  <c r="J16" i="18"/>
  <c r="N14" i="8"/>
  <c r="G24" i="8"/>
  <c r="J24" i="8"/>
  <c r="I16" i="18"/>
  <c r="K16" i="18"/>
  <c r="M8" i="8"/>
  <c r="F24" i="8"/>
  <c r="H24" i="8"/>
  <c r="N8" i="6"/>
  <c r="O14" i="6"/>
  <c r="E13" i="17"/>
  <c r="D14" i="17"/>
  <c r="N20" i="4"/>
  <c r="O20" i="4" s="1"/>
  <c r="I13" i="18"/>
  <c r="K13" i="18"/>
  <c r="M8" i="5"/>
  <c r="D13" i="18" s="1"/>
  <c r="H13" i="18"/>
  <c r="J13" i="18"/>
  <c r="F24" i="5"/>
  <c r="H24" i="5"/>
  <c r="N19" i="5"/>
  <c r="G24" i="5"/>
  <c r="J24" i="5"/>
  <c r="N19" i="4"/>
  <c r="O19" i="4" s="1"/>
  <c r="Q20" i="6"/>
  <c r="T20" i="6" s="1"/>
  <c r="S20" i="6"/>
  <c r="U20" i="6" s="1"/>
  <c r="V20" i="6" s="1"/>
  <c r="X20" i="6" s="1"/>
  <c r="Q20" i="5"/>
  <c r="T20" i="5" s="1"/>
  <c r="S20" i="5"/>
  <c r="F22" i="19"/>
  <c r="N14" i="20"/>
  <c r="E12" i="17"/>
  <c r="K19" i="17"/>
  <c r="S17" i="6"/>
  <c r="Q17" i="6"/>
  <c r="T17" i="6" s="1"/>
  <c r="S13" i="6"/>
  <c r="U13" i="6" s="1"/>
  <c r="V13" i="6" s="1"/>
  <c r="X13" i="6" s="1"/>
  <c r="Q13" i="6"/>
  <c r="T13" i="6" s="1"/>
  <c r="Q17" i="10"/>
  <c r="T17" i="10" s="1"/>
  <c r="S17" i="10"/>
  <c r="Q17" i="14"/>
  <c r="T17" i="14" s="1"/>
  <c r="S17" i="14"/>
  <c r="Q13" i="5"/>
  <c r="T13" i="5" s="1"/>
  <c r="S13" i="5"/>
  <c r="Q13" i="9"/>
  <c r="T13" i="9" s="1"/>
  <c r="S13" i="9"/>
  <c r="Q13" i="13"/>
  <c r="T13" i="13" s="1"/>
  <c r="S13" i="13"/>
  <c r="Q19" i="11"/>
  <c r="T19" i="11" s="1"/>
  <c r="S19" i="11"/>
  <c r="Q11" i="3"/>
  <c r="S11" i="3"/>
  <c r="Q11" i="5"/>
  <c r="S11" i="5"/>
  <c r="Q11" i="4"/>
  <c r="S11" i="4"/>
  <c r="Q11" i="7"/>
  <c r="S11" i="7"/>
  <c r="Q11" i="9"/>
  <c r="S11" i="9"/>
  <c r="Q11" i="13"/>
  <c r="S11" i="13"/>
  <c r="S17" i="5"/>
  <c r="Q17" i="5"/>
  <c r="T17" i="5" s="1"/>
  <c r="S17" i="13"/>
  <c r="Q17" i="13"/>
  <c r="T17" i="13" s="1"/>
  <c r="S13" i="4"/>
  <c r="Q13" i="4"/>
  <c r="T13" i="4" s="1"/>
  <c r="S13" i="8"/>
  <c r="U13" i="8" s="1"/>
  <c r="V13" i="8" s="1"/>
  <c r="X13" i="8" s="1"/>
  <c r="Q13" i="8"/>
  <c r="T13" i="8" s="1"/>
  <c r="S13" i="12"/>
  <c r="Q13" i="12"/>
  <c r="T13" i="12" s="1"/>
  <c r="R16" i="8"/>
  <c r="P16" i="8"/>
  <c r="O16" i="10"/>
  <c r="O16" i="12"/>
  <c r="N8" i="12"/>
  <c r="O16" i="14"/>
  <c r="Q16" i="5"/>
  <c r="T16" i="5" s="1"/>
  <c r="S16" i="5"/>
  <c r="L11" i="18"/>
  <c r="I21" i="18"/>
  <c r="K21" i="18"/>
  <c r="N19" i="13"/>
  <c r="G24" i="13"/>
  <c r="J24" i="13"/>
  <c r="H21" i="18"/>
  <c r="J21" i="18"/>
  <c r="M8" i="13"/>
  <c r="F24" i="13"/>
  <c r="H24" i="13"/>
  <c r="P19" i="12"/>
  <c r="R19" i="12"/>
  <c r="G15" i="20"/>
  <c r="N17" i="8"/>
  <c r="O17" i="8" s="1"/>
  <c r="O14" i="7"/>
  <c r="N8" i="7"/>
  <c r="K14" i="17"/>
  <c r="L8" i="6"/>
  <c r="Q19" i="3"/>
  <c r="T19" i="3" s="1"/>
  <c r="S19" i="3"/>
  <c r="Q21" i="3"/>
  <c r="T21" i="3" s="1"/>
  <c r="S21" i="3"/>
  <c r="P20" i="13"/>
  <c r="R20" i="13"/>
  <c r="Q20" i="12"/>
  <c r="T20" i="12" s="1"/>
  <c r="S20" i="12"/>
  <c r="P20" i="10"/>
  <c r="R20" i="10"/>
  <c r="Q20" i="9"/>
  <c r="T20" i="9" s="1"/>
  <c r="S20" i="9"/>
  <c r="P19" i="8"/>
  <c r="R19" i="8"/>
  <c r="Q19" i="7"/>
  <c r="T19" i="7" s="1"/>
  <c r="S19" i="7"/>
  <c r="Q20" i="14"/>
  <c r="T20" i="14" s="1"/>
  <c r="S20" i="14"/>
  <c r="Q19" i="9"/>
  <c r="T19" i="9" s="1"/>
  <c r="S19" i="9"/>
  <c r="P20" i="8"/>
  <c r="R20" i="8"/>
  <c r="Q17" i="7"/>
  <c r="T17" i="7" s="1"/>
  <c r="S17" i="7"/>
  <c r="Q20" i="7"/>
  <c r="T20" i="7" s="1"/>
  <c r="S20" i="7"/>
  <c r="Q19" i="6"/>
  <c r="T19" i="6" s="1"/>
  <c r="S19" i="6"/>
  <c r="U17" i="11"/>
  <c r="U15" i="3"/>
  <c r="L15" i="18"/>
  <c r="L24" i="14"/>
  <c r="H14" i="19"/>
  <c r="K20" i="17"/>
  <c r="U15" i="11" l="1"/>
  <c r="V15" i="11" s="1"/>
  <c r="X15" i="11" s="1"/>
  <c r="T15" i="16" s="1"/>
  <c r="U15" i="7"/>
  <c r="V15" i="7" s="1"/>
  <c r="X15" i="7" s="1"/>
  <c r="U14" i="11"/>
  <c r="V14" i="11" s="1"/>
  <c r="X14" i="11" s="1"/>
  <c r="T14" i="16" s="1"/>
  <c r="U13" i="7"/>
  <c r="V13" i="7" s="1"/>
  <c r="X13" i="7" s="1"/>
  <c r="U16" i="3"/>
  <c r="V16" i="3" s="1"/>
  <c r="X16" i="3" s="1"/>
  <c r="L16" i="16" s="1"/>
  <c r="J16" i="16" s="1"/>
  <c r="C16" i="16" s="1"/>
  <c r="L24" i="11"/>
  <c r="R19" i="14"/>
  <c r="U17" i="5"/>
  <c r="H12" i="20" s="1"/>
  <c r="U13" i="13"/>
  <c r="V13" i="13" s="1"/>
  <c r="X13" i="13" s="1"/>
  <c r="U17" i="10"/>
  <c r="U17" i="6"/>
  <c r="U20" i="5"/>
  <c r="V20" i="5" s="1"/>
  <c r="X20" i="5" s="1"/>
  <c r="U15" i="5"/>
  <c r="V15" i="5" s="1"/>
  <c r="X15" i="5" s="1"/>
  <c r="U14" i="5"/>
  <c r="V14" i="5" s="1"/>
  <c r="X14" i="5" s="1"/>
  <c r="S13" i="3"/>
  <c r="U13" i="3" s="1"/>
  <c r="U13" i="9"/>
  <c r="V13" i="9" s="1"/>
  <c r="X13" i="9" s="1"/>
  <c r="U17" i="14"/>
  <c r="V17" i="14" s="1"/>
  <c r="U14" i="3"/>
  <c r="U17" i="12"/>
  <c r="V17" i="12" s="1"/>
  <c r="U17" i="3"/>
  <c r="V17" i="3" s="1"/>
  <c r="U13" i="10"/>
  <c r="V13" i="10" s="1"/>
  <c r="X13" i="10" s="1"/>
  <c r="G22" i="20"/>
  <c r="U15" i="9"/>
  <c r="V15" i="9" s="1"/>
  <c r="X15" i="9" s="1"/>
  <c r="S16" i="8"/>
  <c r="Q16" i="8"/>
  <c r="T16" i="8" s="1"/>
  <c r="S16" i="6"/>
  <c r="Q16" i="6"/>
  <c r="T16" i="6" s="1"/>
  <c r="U16" i="6" s="1"/>
  <c r="U13" i="4"/>
  <c r="V13" i="4" s="1"/>
  <c r="X13" i="4" s="1"/>
  <c r="U17" i="13"/>
  <c r="H20" i="20" s="1"/>
  <c r="L21" i="18"/>
  <c r="U15" i="13"/>
  <c r="V15" i="13" s="1"/>
  <c r="X15" i="13" s="1"/>
  <c r="U14" i="13"/>
  <c r="V14" i="13" s="1"/>
  <c r="X14" i="13" s="1"/>
  <c r="U13" i="12"/>
  <c r="V13" i="12" s="1"/>
  <c r="X13" i="12" s="1"/>
  <c r="H22" i="19"/>
  <c r="U13" i="11"/>
  <c r="V13" i="11" s="1"/>
  <c r="X13" i="11" s="1"/>
  <c r="T13" i="16" s="1"/>
  <c r="N8" i="22"/>
  <c r="N11" i="22" s="1"/>
  <c r="D8" i="22" s="1"/>
  <c r="O14" i="20"/>
  <c r="O15" i="20" s="1"/>
  <c r="O16" i="20" s="1"/>
  <c r="O17" i="20" s="1"/>
  <c r="O18" i="20" s="1"/>
  <c r="O19" i="20" s="1"/>
  <c r="O20" i="20" s="1"/>
  <c r="O21" i="20" s="1"/>
  <c r="O22" i="20" s="1"/>
  <c r="J23" i="18"/>
  <c r="Q11" i="11"/>
  <c r="D23" i="18"/>
  <c r="L24" i="8"/>
  <c r="I12" i="19"/>
  <c r="N8" i="14"/>
  <c r="N8" i="10"/>
  <c r="R15" i="4"/>
  <c r="P15" i="4"/>
  <c r="U19" i="6"/>
  <c r="V19" i="6" s="1"/>
  <c r="X19" i="6" s="1"/>
  <c r="U20" i="7"/>
  <c r="V20" i="7" s="1"/>
  <c r="X20" i="7" s="1"/>
  <c r="U17" i="7"/>
  <c r="H14" i="20" s="1"/>
  <c r="U19" i="9"/>
  <c r="V19" i="9" s="1"/>
  <c r="X19" i="9" s="1"/>
  <c r="U20" i="14"/>
  <c r="V20" i="14" s="1"/>
  <c r="X20" i="14" s="1"/>
  <c r="U19" i="7"/>
  <c r="V19" i="7" s="1"/>
  <c r="X19" i="7" s="1"/>
  <c r="U20" i="9"/>
  <c r="V20" i="9" s="1"/>
  <c r="X20" i="9" s="1"/>
  <c r="U20" i="12"/>
  <c r="V20" i="12" s="1"/>
  <c r="X20" i="12" s="1"/>
  <c r="U21" i="3"/>
  <c r="U19" i="3"/>
  <c r="V19" i="3" s="1"/>
  <c r="U15" i="10"/>
  <c r="V15" i="10" s="1"/>
  <c r="X15" i="10" s="1"/>
  <c r="U15" i="8"/>
  <c r="V15" i="8" s="1"/>
  <c r="X15" i="8" s="1"/>
  <c r="U15" i="6"/>
  <c r="V15" i="6" s="1"/>
  <c r="X15" i="6" s="1"/>
  <c r="U14" i="12"/>
  <c r="V14" i="12" s="1"/>
  <c r="X14" i="12" s="1"/>
  <c r="U14" i="4"/>
  <c r="V14" i="4" s="1"/>
  <c r="X14" i="4" s="1"/>
  <c r="U14" i="14"/>
  <c r="V14" i="14" s="1"/>
  <c r="X14" i="14" s="1"/>
  <c r="U14" i="10"/>
  <c r="V14" i="10" s="1"/>
  <c r="X14" i="10" s="1"/>
  <c r="S15" i="12"/>
  <c r="Q15" i="12"/>
  <c r="T15" i="12" s="1"/>
  <c r="S15" i="14"/>
  <c r="Q15" i="14"/>
  <c r="T15" i="14" s="1"/>
  <c r="K22" i="17"/>
  <c r="U16" i="5"/>
  <c r="V16" i="5" s="1"/>
  <c r="X16" i="5" s="1"/>
  <c r="U19" i="11"/>
  <c r="V19" i="11" s="1"/>
  <c r="X19" i="11" s="1"/>
  <c r="T19" i="16" s="1"/>
  <c r="U13" i="5"/>
  <c r="V13" i="5" s="1"/>
  <c r="X13" i="5" s="1"/>
  <c r="V21" i="3"/>
  <c r="V17" i="13"/>
  <c r="V17" i="4"/>
  <c r="H18" i="20"/>
  <c r="V17" i="11"/>
  <c r="V17" i="10"/>
  <c r="Q20" i="8"/>
  <c r="T20" i="8" s="1"/>
  <c r="S20" i="8"/>
  <c r="U20" i="8" s="1"/>
  <c r="V20" i="8" s="1"/>
  <c r="X20" i="8" s="1"/>
  <c r="Q19" i="8"/>
  <c r="T19" i="8" s="1"/>
  <c r="S19" i="8"/>
  <c r="Q20" i="10"/>
  <c r="T20" i="10" s="1"/>
  <c r="S20" i="10"/>
  <c r="U20" i="10" s="1"/>
  <c r="V20" i="10" s="1"/>
  <c r="X20" i="10" s="1"/>
  <c r="Q20" i="13"/>
  <c r="T20" i="13" s="1"/>
  <c r="S20" i="13"/>
  <c r="N8" i="13"/>
  <c r="O19" i="13"/>
  <c r="R16" i="14"/>
  <c r="O8" i="14"/>
  <c r="P16" i="14"/>
  <c r="Q16" i="14" s="1"/>
  <c r="T16" i="14" s="1"/>
  <c r="R16" i="12"/>
  <c r="O8" i="12"/>
  <c r="P16" i="12"/>
  <c r="Q16" i="12" s="1"/>
  <c r="T16" i="12" s="1"/>
  <c r="R16" i="10"/>
  <c r="P16" i="10"/>
  <c r="Q16" i="10" s="1"/>
  <c r="T16" i="10" s="1"/>
  <c r="O8" i="10"/>
  <c r="T11" i="11"/>
  <c r="U11" i="11" s="1"/>
  <c r="T11" i="7"/>
  <c r="U11" i="7" s="1"/>
  <c r="T11" i="5"/>
  <c r="U11" i="5" s="1"/>
  <c r="R20" i="4"/>
  <c r="P20" i="4"/>
  <c r="P19" i="10"/>
  <c r="R19" i="10"/>
  <c r="Q19" i="14"/>
  <c r="T19" i="14" s="1"/>
  <c r="S19" i="14"/>
  <c r="T11" i="12"/>
  <c r="T11" i="8"/>
  <c r="O16" i="4"/>
  <c r="N8" i="4"/>
  <c r="L18" i="18"/>
  <c r="K23" i="18"/>
  <c r="O8" i="7"/>
  <c r="P14" i="7"/>
  <c r="R14" i="7"/>
  <c r="P17" i="8"/>
  <c r="R17" i="8"/>
  <c r="V15" i="3"/>
  <c r="V14" i="3"/>
  <c r="V17" i="6"/>
  <c r="Q19" i="12"/>
  <c r="T19" i="12" s="1"/>
  <c r="S19" i="12"/>
  <c r="T11" i="13"/>
  <c r="T11" i="9"/>
  <c r="T11" i="4"/>
  <c r="T11" i="3"/>
  <c r="R19" i="4"/>
  <c r="P19" i="4"/>
  <c r="O19" i="5"/>
  <c r="N8" i="5"/>
  <c r="D15" i="17"/>
  <c r="E14" i="17"/>
  <c r="O8" i="6"/>
  <c r="P14" i="6"/>
  <c r="R14" i="6"/>
  <c r="N8" i="8"/>
  <c r="O14" i="8"/>
  <c r="Q17" i="9"/>
  <c r="T17" i="9" s="1"/>
  <c r="S17" i="9"/>
  <c r="O8" i="9"/>
  <c r="P14" i="9"/>
  <c r="R14" i="9"/>
  <c r="O8" i="11"/>
  <c r="P20" i="11"/>
  <c r="R20" i="11"/>
  <c r="T11" i="14"/>
  <c r="T11" i="10"/>
  <c r="T11" i="6"/>
  <c r="P18" i="3"/>
  <c r="R18" i="3"/>
  <c r="O8" i="3"/>
  <c r="J12" i="19"/>
  <c r="X12" i="3"/>
  <c r="L12" i="16" s="1"/>
  <c r="J12" i="16" s="1"/>
  <c r="C12" i="16" s="1"/>
  <c r="U19" i="8"/>
  <c r="V19" i="8" s="1"/>
  <c r="X19" i="8" s="1"/>
  <c r="L24" i="13"/>
  <c r="H23" i="18"/>
  <c r="L24" i="5"/>
  <c r="L13" i="18"/>
  <c r="L16" i="18"/>
  <c r="L24" i="10"/>
  <c r="L24" i="4"/>
  <c r="I23" i="18"/>
  <c r="L12" i="18"/>
  <c r="U11" i="13"/>
  <c r="Q8" i="14" l="1"/>
  <c r="H10" i="20"/>
  <c r="I10" i="20" s="1"/>
  <c r="V17" i="5"/>
  <c r="U15" i="14"/>
  <c r="V15" i="14" s="1"/>
  <c r="X15" i="14" s="1"/>
  <c r="U19" i="14"/>
  <c r="V19" i="14" s="1"/>
  <c r="X19" i="14" s="1"/>
  <c r="U16" i="8"/>
  <c r="V16" i="8" s="1"/>
  <c r="X16" i="8" s="1"/>
  <c r="V17" i="7"/>
  <c r="X17" i="7" s="1"/>
  <c r="V16" i="6"/>
  <c r="X16" i="6" s="1"/>
  <c r="H13" i="20"/>
  <c r="I13" i="19"/>
  <c r="V13" i="3"/>
  <c r="J13" i="19" s="1"/>
  <c r="U20" i="13"/>
  <c r="V20" i="13" s="1"/>
  <c r="X20" i="13" s="1"/>
  <c r="N13" i="22"/>
  <c r="D12" i="22" s="1"/>
  <c r="D10" i="22" s="1"/>
  <c r="U19" i="12"/>
  <c r="V19" i="12" s="1"/>
  <c r="X19" i="12" s="1"/>
  <c r="L23" i="18"/>
  <c r="U15" i="12"/>
  <c r="V15" i="12" s="1"/>
  <c r="X15" i="12" s="1"/>
  <c r="U17" i="9"/>
  <c r="H16" i="20" s="1"/>
  <c r="S15" i="4"/>
  <c r="Q15" i="4"/>
  <c r="T15" i="4" s="1"/>
  <c r="V17" i="9"/>
  <c r="R8" i="3"/>
  <c r="R8" i="11"/>
  <c r="X17" i="12"/>
  <c r="R8" i="7"/>
  <c r="Q20" i="4"/>
  <c r="T20" i="4" s="1"/>
  <c r="S20" i="4"/>
  <c r="U20" i="4" s="1"/>
  <c r="R8" i="10"/>
  <c r="S16" i="14"/>
  <c r="S8" i="14" s="1"/>
  <c r="P8" i="14"/>
  <c r="R8" i="14"/>
  <c r="Q8" i="12"/>
  <c r="V11" i="5"/>
  <c r="V11" i="7"/>
  <c r="V11" i="11"/>
  <c r="Q14" i="9"/>
  <c r="S14" i="9"/>
  <c r="S8" i="9" s="1"/>
  <c r="P8" i="9"/>
  <c r="P14" i="8"/>
  <c r="R14" i="8"/>
  <c r="O8" i="8"/>
  <c r="R8" i="6"/>
  <c r="E15" i="17"/>
  <c r="D16" i="17"/>
  <c r="O8" i="5"/>
  <c r="R19" i="5"/>
  <c r="P19" i="5"/>
  <c r="V11" i="13"/>
  <c r="Q18" i="3"/>
  <c r="S18" i="3"/>
  <c r="S8" i="3" s="1"/>
  <c r="P8" i="3"/>
  <c r="U11" i="6"/>
  <c r="U11" i="10"/>
  <c r="T8" i="14"/>
  <c r="U11" i="14"/>
  <c r="Q20" i="11"/>
  <c r="S20" i="11"/>
  <c r="S8" i="11" s="1"/>
  <c r="P8" i="11"/>
  <c r="R8" i="9"/>
  <c r="Q14" i="6"/>
  <c r="S14" i="6"/>
  <c r="S8" i="6" s="1"/>
  <c r="P8" i="6"/>
  <c r="Q19" i="4"/>
  <c r="T19" i="4" s="1"/>
  <c r="S19" i="4"/>
  <c r="U19" i="4" s="1"/>
  <c r="X17" i="14"/>
  <c r="X17" i="6"/>
  <c r="J10" i="20"/>
  <c r="X17" i="3"/>
  <c r="L17" i="16" s="1"/>
  <c r="X14" i="3"/>
  <c r="L14" i="16" s="1"/>
  <c r="J14" i="16" s="1"/>
  <c r="C14" i="16" s="1"/>
  <c r="X15" i="3"/>
  <c r="L15" i="16" s="1"/>
  <c r="J15" i="16" s="1"/>
  <c r="C15" i="16" s="1"/>
  <c r="Q17" i="8"/>
  <c r="T17" i="8" s="1"/>
  <c r="S17" i="8"/>
  <c r="Q14" i="7"/>
  <c r="S14" i="7"/>
  <c r="S8" i="7" s="1"/>
  <c r="P8" i="7"/>
  <c r="P16" i="4"/>
  <c r="R16" i="4"/>
  <c r="O8" i="4"/>
  <c r="U11" i="8"/>
  <c r="T8" i="12"/>
  <c r="U11" i="12"/>
  <c r="Q19" i="10"/>
  <c r="S19" i="10"/>
  <c r="S16" i="10"/>
  <c r="P8" i="10"/>
  <c r="S16" i="12"/>
  <c r="S8" i="12" s="1"/>
  <c r="P8" i="12"/>
  <c r="R8" i="12"/>
  <c r="P19" i="13"/>
  <c r="R19" i="13"/>
  <c r="O8" i="13"/>
  <c r="X17" i="10"/>
  <c r="J18" i="20"/>
  <c r="X17" i="11"/>
  <c r="T17" i="16" s="1"/>
  <c r="X17" i="4"/>
  <c r="J12" i="20"/>
  <c r="X17" i="5"/>
  <c r="J20" i="20"/>
  <c r="X17" i="13"/>
  <c r="X19" i="3"/>
  <c r="L19" i="16" s="1"/>
  <c r="J19" i="16" s="1"/>
  <c r="C19" i="16" s="1"/>
  <c r="X21" i="3"/>
  <c r="L20" i="16" s="1"/>
  <c r="U11" i="3"/>
  <c r="U11" i="4"/>
  <c r="U11" i="9"/>
  <c r="J14" i="20" l="1"/>
  <c r="U15" i="4"/>
  <c r="V15" i="4" s="1"/>
  <c r="J17" i="16"/>
  <c r="C17" i="16" s="1"/>
  <c r="J13" i="20"/>
  <c r="X13" i="3"/>
  <c r="L13" i="16" s="1"/>
  <c r="J13" i="16" s="1"/>
  <c r="C13" i="16" s="1"/>
  <c r="U16" i="12"/>
  <c r="U17" i="8"/>
  <c r="I17" i="19" s="1"/>
  <c r="N27" i="21" s="1"/>
  <c r="U16" i="14"/>
  <c r="U8" i="14" s="1"/>
  <c r="I15" i="19"/>
  <c r="H15" i="20"/>
  <c r="V11" i="3"/>
  <c r="I11" i="19"/>
  <c r="V20" i="4"/>
  <c r="V11" i="4"/>
  <c r="Q19" i="13"/>
  <c r="S19" i="13"/>
  <c r="S8" i="13" s="1"/>
  <c r="P8" i="13"/>
  <c r="T19" i="10"/>
  <c r="T8" i="10" s="1"/>
  <c r="Q8" i="10"/>
  <c r="R8" i="4"/>
  <c r="T14" i="7"/>
  <c r="T8" i="7" s="1"/>
  <c r="Q8" i="7"/>
  <c r="T14" i="6"/>
  <c r="T8" i="6" s="1"/>
  <c r="Q8" i="6"/>
  <c r="V11" i="14"/>
  <c r="V11" i="10"/>
  <c r="V11" i="6"/>
  <c r="T18" i="3"/>
  <c r="T8" i="3" s="1"/>
  <c r="Q8" i="3"/>
  <c r="X11" i="13"/>
  <c r="R8" i="5"/>
  <c r="D17" i="17"/>
  <c r="E16" i="17"/>
  <c r="Q14" i="8"/>
  <c r="S14" i="8"/>
  <c r="S8" i="8" s="1"/>
  <c r="P8" i="8"/>
  <c r="S8" i="10"/>
  <c r="U16" i="10"/>
  <c r="U18" i="3"/>
  <c r="V11" i="9"/>
  <c r="V19" i="4"/>
  <c r="R8" i="13"/>
  <c r="V11" i="12"/>
  <c r="V11" i="8"/>
  <c r="Q16" i="4"/>
  <c r="S16" i="4"/>
  <c r="S8" i="4" s="1"/>
  <c r="P8" i="4"/>
  <c r="T20" i="11"/>
  <c r="T8" i="11" s="1"/>
  <c r="Q8" i="11"/>
  <c r="Q19" i="5"/>
  <c r="S19" i="5"/>
  <c r="S8" i="5" s="1"/>
  <c r="P8" i="5"/>
  <c r="R8" i="8"/>
  <c r="T14" i="9"/>
  <c r="Q8" i="9"/>
  <c r="X11" i="11"/>
  <c r="T11" i="16" s="1"/>
  <c r="X11" i="7"/>
  <c r="X11" i="5"/>
  <c r="J16" i="20"/>
  <c r="X17" i="9"/>
  <c r="U14" i="7" l="1"/>
  <c r="V16" i="10"/>
  <c r="H17" i="20"/>
  <c r="V16" i="14"/>
  <c r="H21" i="20"/>
  <c r="V16" i="12"/>
  <c r="H19" i="20"/>
  <c r="U8" i="12"/>
  <c r="V17" i="8"/>
  <c r="J15" i="20" s="1"/>
  <c r="U14" i="6"/>
  <c r="U20" i="11"/>
  <c r="I20" i="19" s="1"/>
  <c r="X15" i="4"/>
  <c r="J15" i="19"/>
  <c r="T16" i="4"/>
  <c r="T8" i="4" s="1"/>
  <c r="Q8" i="4"/>
  <c r="V8" i="12"/>
  <c r="X11" i="12"/>
  <c r="X11" i="9"/>
  <c r="V14" i="6"/>
  <c r="V8" i="6" s="1"/>
  <c r="T19" i="5"/>
  <c r="T8" i="5" s="1"/>
  <c r="Q8" i="5"/>
  <c r="I18" i="19"/>
  <c r="V18" i="3"/>
  <c r="V8" i="3" s="1"/>
  <c r="F11" i="18" s="1"/>
  <c r="V14" i="7"/>
  <c r="U8" i="7"/>
  <c r="T14" i="8"/>
  <c r="Q8" i="8"/>
  <c r="E17" i="17"/>
  <c r="D18" i="17"/>
  <c r="X11" i="6"/>
  <c r="X11" i="10"/>
  <c r="V8" i="14"/>
  <c r="X11" i="14"/>
  <c r="J11" i="19"/>
  <c r="X11" i="3"/>
  <c r="U16" i="4"/>
  <c r="H11" i="20" s="1"/>
  <c r="I11" i="20" s="1"/>
  <c r="I12" i="20" s="1"/>
  <c r="I13" i="20" s="1"/>
  <c r="I14" i="20" s="1"/>
  <c r="I15" i="20" s="1"/>
  <c r="I16" i="20" s="1"/>
  <c r="T8" i="9"/>
  <c r="U14" i="9"/>
  <c r="X11" i="8"/>
  <c r="X19" i="4"/>
  <c r="T19" i="13"/>
  <c r="Q8" i="13"/>
  <c r="X11" i="4"/>
  <c r="X20" i="4"/>
  <c r="X17" i="8"/>
  <c r="U8" i="6"/>
  <c r="U8" i="3"/>
  <c r="E11" i="18" s="1"/>
  <c r="U19" i="10"/>
  <c r="V19" i="10" s="1"/>
  <c r="X19" i="10" s="1"/>
  <c r="V20" i="11" l="1"/>
  <c r="J20" i="19" s="1"/>
  <c r="J17" i="19"/>
  <c r="U8" i="11"/>
  <c r="X16" i="10"/>
  <c r="X8" i="10" s="1"/>
  <c r="J17" i="20"/>
  <c r="I17" i="20"/>
  <c r="I18" i="20" s="1"/>
  <c r="I19" i="20" s="1"/>
  <c r="I20" i="20" s="1"/>
  <c r="I21" i="20" s="1"/>
  <c r="I22" i="20" s="1"/>
  <c r="X16" i="14"/>
  <c r="X8" i="14" s="1"/>
  <c r="J21" i="20"/>
  <c r="X16" i="12"/>
  <c r="X8" i="12" s="1"/>
  <c r="J19" i="20"/>
  <c r="D19" i="17"/>
  <c r="E18" i="17"/>
  <c r="U19" i="5"/>
  <c r="T8" i="13"/>
  <c r="U19" i="13"/>
  <c r="V16" i="4"/>
  <c r="J11" i="20" s="1"/>
  <c r="I16" i="19"/>
  <c r="U8" i="4"/>
  <c r="E12" i="18" s="1"/>
  <c r="V14" i="9"/>
  <c r="U8" i="9"/>
  <c r="V19" i="5"/>
  <c r="T8" i="8"/>
  <c r="U14" i="8"/>
  <c r="X14" i="7"/>
  <c r="X8" i="7" s="1"/>
  <c r="V8" i="7"/>
  <c r="X14" i="6"/>
  <c r="X8" i="6" s="1"/>
  <c r="U8" i="10"/>
  <c r="V8" i="10"/>
  <c r="X20" i="11"/>
  <c r="V8" i="11"/>
  <c r="L11" i="16"/>
  <c r="J11" i="16" s="1"/>
  <c r="J18" i="19"/>
  <c r="X18" i="3"/>
  <c r="L18" i="16" s="1"/>
  <c r="J18" i="16" s="1"/>
  <c r="C18" i="16" s="1"/>
  <c r="I19" i="19" l="1"/>
  <c r="X8" i="11"/>
  <c r="T20" i="16"/>
  <c r="J20" i="16" s="1"/>
  <c r="C20" i="16" s="1"/>
  <c r="E20" i="16" s="1"/>
  <c r="J22" i="20"/>
  <c r="D20" i="17"/>
  <c r="E19" i="17"/>
  <c r="U8" i="5"/>
  <c r="E13" i="18" s="1"/>
  <c r="E23" i="18" s="1"/>
  <c r="X16" i="4"/>
  <c r="X8" i="4" s="1"/>
  <c r="J16" i="19"/>
  <c r="V8" i="4"/>
  <c r="F12" i="18" s="1"/>
  <c r="X8" i="3"/>
  <c r="C11" i="16"/>
  <c r="V14" i="8"/>
  <c r="U8" i="8"/>
  <c r="I14" i="19"/>
  <c r="I22" i="19" s="1"/>
  <c r="X19" i="5"/>
  <c r="X8" i="5" s="1"/>
  <c r="V8" i="5"/>
  <c r="F13" i="18" s="1"/>
  <c r="X14" i="9"/>
  <c r="X8" i="9" s="1"/>
  <c r="V8" i="9"/>
  <c r="V19" i="13"/>
  <c r="J19" i="19" s="1"/>
  <c r="U8" i="13"/>
  <c r="J22" i="16" l="1"/>
  <c r="X19" i="13"/>
  <c r="X8" i="13" s="1"/>
  <c r="V8" i="13"/>
  <c r="X14" i="8"/>
  <c r="X8" i="8" s="1"/>
  <c r="V8" i="8"/>
  <c r="J14" i="19"/>
  <c r="J22" i="19" s="1"/>
  <c r="D11" i="16"/>
  <c r="D12" i="16" s="1"/>
  <c r="F23" i="18"/>
  <c r="D13" i="16" l="1"/>
  <c r="E12" i="16"/>
  <c r="E11" i="16"/>
  <c r="D14" i="16" l="1"/>
  <c r="E13" i="16"/>
  <c r="D15" i="16" l="1"/>
  <c r="E14" i="16"/>
  <c r="D16" i="16" l="1"/>
  <c r="E15" i="16"/>
  <c r="D17" i="16" l="1"/>
  <c r="E16" i="16"/>
  <c r="D18" i="16" l="1"/>
  <c r="E17" i="16"/>
  <c r="D19" i="16" l="1"/>
  <c r="E18" i="16"/>
  <c r="D20" i="16" l="1"/>
  <c r="E19" i="16"/>
</calcChain>
</file>

<file path=xl/sharedStrings.xml><?xml version="1.0" encoding="utf-8"?>
<sst xmlns="http://schemas.openxmlformats.org/spreadsheetml/2006/main" count="791" uniqueCount="271">
  <si>
    <t>Nr.</t>
  </si>
  <si>
    <t>Paga që tatohet</t>
  </si>
  <si>
    <t>Taksa 10%</t>
  </si>
  <si>
    <t>Gjithsej taksat</t>
  </si>
  <si>
    <t>Emri dhe mbiemri</t>
  </si>
  <si>
    <t>250 - 450</t>
  </si>
  <si>
    <t>450 -</t>
  </si>
  <si>
    <t>0 - 80</t>
  </si>
  <si>
    <t>80 - 250</t>
  </si>
  <si>
    <t>Gjithsej kontributet</t>
  </si>
  <si>
    <t>Paga Bruto</t>
  </si>
  <si>
    <t>Kontributi nga punëtori</t>
  </si>
  <si>
    <t>Kontributet</t>
  </si>
  <si>
    <t>Kontributi nga punëdhënësi</t>
  </si>
  <si>
    <t>Kthehu prapa</t>
  </si>
  <si>
    <t xml:space="preserve">Emri i subjektit afarist: </t>
  </si>
  <si>
    <t xml:space="preserve">Numri i biznesit: </t>
  </si>
  <si>
    <t xml:space="preserve">Viti: </t>
  </si>
  <si>
    <t>Shënimet personale mbi punëtorët e ndërmarrjes</t>
  </si>
  <si>
    <t>Shënime mbi ndërmarrjen</t>
  </si>
  <si>
    <t>Raporti tremujor i kontributeve</t>
  </si>
  <si>
    <t>Numri personal</t>
  </si>
  <si>
    <t>Bruto paga</t>
  </si>
  <si>
    <t>Totali i kontributeve</t>
  </si>
  <si>
    <t>TM-1</t>
  </si>
  <si>
    <t>TM-2</t>
  </si>
  <si>
    <t>TM-3</t>
  </si>
  <si>
    <t>TM-4</t>
  </si>
  <si>
    <t>Totali</t>
  </si>
  <si>
    <t>Data:</t>
  </si>
  <si>
    <t>Muaji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</si>
  <si>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</si>
  <si>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</si>
  <si>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</si>
  <si>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</si>
  <si>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</si>
  <si>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</si>
  <si>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</si>
  <si>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</si>
  <si>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</si>
  <si>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</si>
  <si>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</si>
  <si>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</si>
  <si>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Paga neto</t>
  </si>
  <si>
    <t>Të ardhurat e tatueshme</t>
  </si>
  <si>
    <t>KLASIFIKIMI I PAGAVE</t>
  </si>
  <si>
    <t>0 – 80</t>
  </si>
  <si>
    <t>80 – 250</t>
  </si>
  <si>
    <t>250 – 450</t>
  </si>
  <si>
    <t>mbi 450</t>
  </si>
  <si>
    <t>Gjithsej u dhanë paga</t>
  </si>
  <si>
    <t>TOTALI MUJOR DHE VJETOR I TATIMIT</t>
  </si>
  <si>
    <t>Emri dhe mbiemri i te punesuarit</t>
  </si>
  <si>
    <t>Numri individual i tatimpaguesit</t>
  </si>
  <si>
    <t>Paga bruto per periudhen  tatimore</t>
  </si>
  <si>
    <t>Te ardhurat vjetore te tatueshme</t>
  </si>
  <si>
    <t>Tatimi i mbajtur ne burim</t>
  </si>
  <si>
    <t>Pagat e paguara pas tatimit</t>
  </si>
  <si>
    <t>Data</t>
  </si>
  <si>
    <t>TOTALI</t>
  </si>
  <si>
    <t>Emri dhe nenshkrimi i punedhenesit / Personit te autorizuar</t>
  </si>
  <si>
    <t>LIBRI I KONTRIBUTEVE DHE TATIMEVE</t>
  </si>
  <si>
    <t>Viti</t>
  </si>
  <si>
    <t>NP / NIT i UNMIK-ut i të punësuarit</t>
  </si>
  <si>
    <t xml:space="preserve">Subjekti: </t>
  </si>
  <si>
    <t>Emri dhe mbiemri i të punësuarit</t>
  </si>
  <si>
    <t xml:space="preserve">NRB: </t>
  </si>
  <si>
    <t xml:space="preserve">Vendi: </t>
  </si>
  <si>
    <t>Paga bruto</t>
  </si>
  <si>
    <t>Kontributet pensionale të të punësuarit</t>
  </si>
  <si>
    <t>Paga neto para tatimit</t>
  </si>
  <si>
    <t>Tatimi i të ardhurave personale</t>
  </si>
  <si>
    <t>Paga neto pas tatimit</t>
  </si>
  <si>
    <t>Kontributet pensionale të punëdhënësit</t>
  </si>
  <si>
    <t>Totali i kontributeve pensionale</t>
  </si>
  <si>
    <t>Mujore</t>
  </si>
  <si>
    <t>Kumulativi</t>
  </si>
  <si>
    <t>a</t>
  </si>
  <si>
    <t>b</t>
  </si>
  <si>
    <t>c</t>
  </si>
  <si>
    <t>d</t>
  </si>
  <si>
    <t>e*</t>
  </si>
  <si>
    <t>f</t>
  </si>
  <si>
    <t>g</t>
  </si>
  <si>
    <t>h = e – f</t>
  </si>
  <si>
    <t>i</t>
  </si>
  <si>
    <t>k</t>
  </si>
  <si>
    <t>m = c + i</t>
  </si>
  <si>
    <t>n = d + k</t>
  </si>
  <si>
    <t>Totali:</t>
  </si>
  <si>
    <t>TOTALI:</t>
  </si>
  <si>
    <t>punëdhënësit / Personit te autorizuar</t>
  </si>
  <si>
    <t>Emri dhe nenshkrimi i</t>
  </si>
  <si>
    <t>Emri i bankës nëse punëtori deklarohet për transferin e parave përmes bankës</t>
  </si>
  <si>
    <t>Xhirollogaria bankare</t>
  </si>
  <si>
    <t>Emri dhe nënshkrimi i</t>
  </si>
  <si>
    <t>punëdhënësit / Personit të autorizuar</t>
  </si>
  <si>
    <t xml:space="preserve">  Pagat për muajin</t>
  </si>
  <si>
    <t>fisnikhoxha@yahoo.com</t>
  </si>
  <si>
    <t>Falas</t>
  </si>
  <si>
    <t>Çmimorja e programit sipas numrit të punëtorëve</t>
  </si>
  <si>
    <t>Numri i punëtorëve</t>
  </si>
  <si>
    <t>Çmimi në €</t>
  </si>
  <si>
    <t>044 210 922</t>
  </si>
  <si>
    <t>Nga punëdh.</t>
  </si>
  <si>
    <t>Nga punëtori</t>
  </si>
  <si>
    <t>Kontributi nga punëdh.</t>
  </si>
  <si>
    <t>Kontributi vjetor i te punesuarit</t>
  </si>
  <si>
    <t>[11]</t>
  </si>
  <si>
    <t>[12]</t>
  </si>
  <si>
    <t>[13]</t>
  </si>
  <si>
    <t>[14]</t>
  </si>
  <si>
    <t>[15]</t>
  </si>
  <si>
    <t>(*) Kontributi Pensional i punëdhënësit nuk është as i zbritshëm nga të Ardhurat Bruto e as nuk përfshihet në të Ardhurat Bruto të të punësuarit</t>
  </si>
  <si>
    <t>[1]  Emri i punedhenesit</t>
  </si>
  <si>
    <t>Kjo Çertifikatë e kontributeve pensionale dhe Mbajtjes në Burim të Tatimit në të Ardhura Personale i lëshohet të punësuarit në vijim:</t>
  </si>
  <si>
    <t>Te ardhurat bruto</t>
  </si>
  <si>
    <t>data/muaji/viti</t>
  </si>
  <si>
    <t>[2]  Numri i Regjistrimit te Punedhenesit</t>
  </si>
  <si>
    <t>[3]  Adresa e Punedhenesit</t>
  </si>
  <si>
    <t>[5]  Emri i Pronarit/Menaxherit</t>
  </si>
  <si>
    <t>[7]  Emri i të Punësuarit</t>
  </si>
  <si>
    <t>[8]  NP i UNMIK-ut / Nr. Individual i Tatimpaguesit:</t>
  </si>
  <si>
    <t>[9]  Adresa e të Punësuarit</t>
  </si>
  <si>
    <t>Periudha tatimore</t>
  </si>
  <si>
    <t>Kontributi pensional i Punëdhënësit (*)</t>
  </si>
  <si>
    <t>Kontibuti pensional i të Punësuarit</t>
  </si>
  <si>
    <t>Tatimi i Mbajtur në Burim</t>
  </si>
  <si>
    <t>[4]  Tel:</t>
  </si>
  <si>
    <t>[6]  Tel:</t>
  </si>
  <si>
    <t>[10]  Tel:</t>
  </si>
  <si>
    <t>Emri, Nënshkrimi dhe Vula e Punëdhënësit/Personit të Autorizuar</t>
  </si>
  <si>
    <t>Une deklaroj se të dhënat e paraqitura mëposhtë janë të vërteta:</t>
  </si>
  <si>
    <t>Çertifikatë e Kontributit Pensional dhe
Mbajtjes në Burim të Tatimit në Paga</t>
  </si>
  <si>
    <t>Adresa</t>
  </si>
  <si>
    <t>Numri i telefonit</t>
  </si>
  <si>
    <t xml:space="preserve">Xhirollogaria: </t>
  </si>
  <si>
    <t xml:space="preserve">Banka: </t>
  </si>
  <si>
    <t xml:space="preserve">Tel: </t>
  </si>
  <si>
    <t xml:space="preserve">Emri i pronarit/Menaxherit: </t>
  </si>
  <si>
    <t xml:space="preserve">Adresa e ndërmarrjes: </t>
  </si>
  <si>
    <t xml:space="preserve">Emri i pronarit / Menaxherit: </t>
  </si>
  <si>
    <t>Kontributi vjetor i punëdhënësit</t>
  </si>
  <si>
    <t>MAJ</t>
  </si>
  <si>
    <t>QERSHOR</t>
  </si>
  <si>
    <t>JANAR</t>
  </si>
  <si>
    <t>SHKURT</t>
  </si>
  <si>
    <t>MARS</t>
  </si>
  <si>
    <t>PRILL</t>
  </si>
  <si>
    <t>KORRIK</t>
  </si>
  <si>
    <t>GUSHT</t>
  </si>
  <si>
    <t>SHTATOR</t>
  </si>
  <si>
    <t>TETOR</t>
  </si>
  <si>
    <t>NËNTOR</t>
  </si>
  <si>
    <t>Kontributet pensionale</t>
  </si>
  <si>
    <t>X</t>
  </si>
  <si>
    <t>=</t>
  </si>
  <si>
    <t>Tatimi</t>
  </si>
  <si>
    <t>në barrë të punëtorit</t>
  </si>
  <si>
    <t>në barrë të punëdhënësit</t>
  </si>
  <si>
    <t>Banka</t>
  </si>
  <si>
    <t>DHJETOR</t>
  </si>
  <si>
    <t>Fletëpagesa për
pagën mujore</t>
  </si>
  <si>
    <t>Avans
NETO</t>
  </si>
  <si>
    <t>Paga NETO</t>
  </si>
  <si>
    <t>NETO për pagesë</t>
  </si>
  <si>
    <t>Avansi</t>
  </si>
  <si>
    <t>…… (1) – (2)</t>
  </si>
  <si>
    <t>…… (3)</t>
  </si>
  <si>
    <t>…… (2)</t>
  </si>
  <si>
    <t>…… (1)</t>
  </si>
  <si>
    <t>…… (2) + (3)</t>
  </si>
  <si>
    <t>Përmbledhje</t>
  </si>
  <si>
    <t xml:space="preserve">Paga që tatohet : </t>
  </si>
  <si>
    <t xml:space="preserve">Gjithsej tatimi : </t>
  </si>
  <si>
    <t xml:space="preserve">Paga NETO : </t>
  </si>
  <si>
    <t xml:space="preserve">Avansi : </t>
  </si>
  <si>
    <t xml:space="preserve">Paga Bruto : </t>
  </si>
  <si>
    <t xml:space="preserve">Gjithsej kontributet :  </t>
  </si>
  <si>
    <t xml:space="preserve">Paga NETO për pagesë : </t>
  </si>
  <si>
    <t>Xhirollogaria e Punëtorit</t>
  </si>
  <si>
    <t>Neto Paga</t>
  </si>
  <si>
    <t xml:space="preserve">Urdhëresa për pagesën e rrogave të punëtorëve për muajin: </t>
  </si>
  <si>
    <t>Paga Bruto e muajit paraprak</t>
  </si>
  <si>
    <t>deri në 30</t>
  </si>
  <si>
    <t>deri në 50</t>
  </si>
  <si>
    <t>deri në 100</t>
  </si>
  <si>
    <t>Vini re:</t>
  </si>
  <si>
    <t>Në secilin muaj të llogaritjes së pagave në anën e majtë të tabelës ju mund ta shikoni</t>
  </si>
  <si>
    <t>se sa ishte paga bruto e muajit paraprak.</t>
  </si>
  <si>
    <t>caktohet varësisht nga përmasat e ndryshimeve në program.</t>
  </si>
  <si>
    <t>Aprovoi:</t>
  </si>
  <si>
    <t>Pranoi:</t>
  </si>
  <si>
    <t>mbi 100</t>
  </si>
  <si>
    <t>sipas marrëveshjes</t>
  </si>
  <si>
    <t xml:space="preserve"> Combo Box</t>
  </si>
  <si>
    <t>Spinner</t>
  </si>
  <si>
    <t>Libri i kontributeve dhe tatimeve</t>
  </si>
  <si>
    <t>Fletëpagesa</t>
  </si>
  <si>
    <t>Pagesa përmes bankës</t>
  </si>
  <si>
    <t>Listë-Pagesa Vjetore</t>
  </si>
  <si>
    <t>E gatshme për shtypje. S'keni nevojë të intervenoni fare në të.</t>
  </si>
  <si>
    <t>I gatshëm për shtypje. Janë vetëm të dhëna statistikore mbi tatimin dhe klasifikimin e pagave.</t>
  </si>
  <si>
    <t>Çertifikata</t>
  </si>
  <si>
    <t>Raportet që mund t'i shtypni apo lexoni</t>
  </si>
  <si>
    <t>Të dhëna statistikore mbi tatimin dhe shpërndarjen e rrogave për çdo muaj</t>
  </si>
  <si>
    <t>Meqë janë me qindra subjekte që e shfrytëzojnë këtë aplikacion që nga viti 2005, si qendra tregtare, universitete, OJQ, institucione, shkolla, biznese me shumicë e pakicë dhe zyra për kontabilitet, mund të thuhet lirshëm se ky program, tashmë është i testuar, i dëshmuar dhe i vlerësuar anembanë Kosovës.</t>
  </si>
  <si>
    <t>Primar</t>
  </si>
  <si>
    <t>Sekondar</t>
  </si>
  <si>
    <t>Punëdhënësi</t>
  </si>
  <si>
    <t xml:space="preserve">Kontributi </t>
  </si>
  <si>
    <t>Pensional nga punëtori</t>
  </si>
  <si>
    <r>
      <t xml:space="preserve">Paga </t>
    </r>
    <r>
      <rPr>
        <b/>
        <sz val="10"/>
        <rFont val="Arial"/>
        <family val="2"/>
      </rPr>
      <t>NETO</t>
    </r>
  </si>
  <si>
    <r>
      <t xml:space="preserve">Paga </t>
    </r>
    <r>
      <rPr>
        <b/>
        <sz val="10"/>
        <rFont val="Arial"/>
        <family val="2"/>
      </rPr>
      <t xml:space="preserve">BRUTO: </t>
    </r>
  </si>
  <si>
    <t>Kontributi pensional nga punëtori</t>
  </si>
  <si>
    <t xml:space="preserve"> Shtyp "2" për punëdh. të dytë</t>
  </si>
  <si>
    <t>Lista e Pagave</t>
  </si>
  <si>
    <t>Punojmë programe tjera në MS Excel sipas porosisë.</t>
  </si>
  <si>
    <t>Taksa 4%</t>
  </si>
  <si>
    <t>Taksa 8%</t>
  </si>
  <si>
    <t>Bëjmë ndryshime në Programin e Pagave sipas kërkesave. Çmimi shtesë</t>
  </si>
  <si>
    <t>këto shënime do të barten në të gjitha faqet në mënyrë automatike.</t>
  </si>
  <si>
    <t>Rregull gjenerale</t>
  </si>
  <si>
    <t>Mund të shkruani vetëm në hapësirat me ngjyrë të gjelbër.</t>
  </si>
  <si>
    <t>Hapi i parë</t>
  </si>
  <si>
    <r>
      <t xml:space="preserve">5 minuta si të përdoret </t>
    </r>
    <r>
      <rPr>
        <b/>
        <sz val="18"/>
        <rFont val="Verdana"/>
        <family val="2"/>
      </rPr>
      <t>Programi i Pagave Ver 1.4</t>
    </r>
  </si>
  <si>
    <r>
      <t xml:space="preserve">Shtyp butonin </t>
    </r>
    <r>
      <rPr>
        <b/>
        <sz val="12"/>
        <rFont val="Verdana"/>
        <family val="2"/>
      </rPr>
      <t>&lt;shënime mbi ndërmarrjen dhe punëtorët&gt;</t>
    </r>
    <r>
      <rPr>
        <sz val="12"/>
        <rFont val="Verdana"/>
        <family val="2"/>
      </rPr>
      <t>.
Plotësoni të gjitha shënimet bazë në lidhje me ndërmarrjen dhe punëtorët, pastaj të gjitha</t>
    </r>
  </si>
  <si>
    <r>
      <t xml:space="preserve">Në raportet në vazhdim me anë të komandave </t>
    </r>
    <r>
      <rPr>
        <b/>
        <sz val="12"/>
        <rFont val="Verdana"/>
        <family val="2"/>
      </rPr>
      <t>Combo Box</t>
    </r>
    <r>
      <rPr>
        <sz val="12"/>
        <rFont val="Verdana"/>
        <family val="2"/>
      </rPr>
      <t xml:space="preserve"> dhe </t>
    </r>
    <r>
      <rPr>
        <b/>
        <sz val="12"/>
        <rFont val="Verdana"/>
        <family val="2"/>
      </rPr>
      <t>Spinner</t>
    </r>
    <r>
      <rPr>
        <sz val="12"/>
        <rFont val="Verdana"/>
        <family val="2"/>
      </rPr>
      <t>, mund t'i zgjedhni
periudhat tre-mujore, punëtorin, muajin, për shtypjen e raporteve.</t>
    </r>
  </si>
  <si>
    <r>
      <t xml:space="preserve">Fletëdëshmi e pagesës së rrogës nga ndërmarrja për çdo punëtor me të gjitha detalet tatimore dhe kontributet.
Zgjedh muajin e kërkuar me anë të </t>
    </r>
    <r>
      <rPr>
        <b/>
        <sz val="12"/>
        <rFont val="Verdana"/>
        <family val="2"/>
      </rPr>
      <t>Combo Box</t>
    </r>
    <r>
      <rPr>
        <sz val="12"/>
        <rFont val="Verdana"/>
        <family val="2"/>
      </rPr>
      <t xml:space="preserve"> dhe emrin e punëtorit me anë të </t>
    </r>
    <r>
      <rPr>
        <b/>
        <sz val="12"/>
        <rFont val="Verdana"/>
        <family val="2"/>
      </rPr>
      <t>Spinner</t>
    </r>
    <r>
      <rPr>
        <sz val="12"/>
        <rFont val="Verdana"/>
        <family val="2"/>
      </rPr>
      <t>.</t>
    </r>
  </si>
  <si>
    <r>
      <t xml:space="preserve">Pasqyrë e detalizuar vjetore dhe mujore e kontributeve dhe tatimeve për secilin punëtor të ndërmarrjes në fund të vitit.
Zgjedh punëtorin me </t>
    </r>
    <r>
      <rPr>
        <b/>
        <sz val="12"/>
        <rFont val="Verdana"/>
        <family val="2"/>
      </rPr>
      <t>Spinner</t>
    </r>
    <r>
      <rPr>
        <sz val="12"/>
        <rFont val="Verdana"/>
        <family val="2"/>
      </rPr>
      <t xml:space="preserve"> apo shkruaj direkt numrin rendor të punëtorit, nëse e dini, në qelinë me ngjyrë të gjelbër.</t>
    </r>
  </si>
  <si>
    <t>Hapi i dytë</t>
  </si>
  <si>
    <t>Plotësoni listat e pagave duke filluar nga muaji Janar në fushat me ngjyrë të gjelbër.</t>
  </si>
  <si>
    <r>
      <t xml:space="preserve">Përdor </t>
    </r>
    <r>
      <rPr>
        <b/>
        <sz val="12"/>
        <rFont val="Verdana"/>
        <family val="2"/>
      </rPr>
      <t>Combo Box</t>
    </r>
    <r>
      <rPr>
        <sz val="12"/>
        <rFont val="Verdana"/>
        <family val="2"/>
      </rPr>
      <t xml:space="preserve"> për të zgjedhur periudhën tremujore të deklarimit të kontributeve. Pastaj hap </t>
    </r>
    <r>
      <rPr>
        <b/>
        <sz val="12"/>
        <rFont val="Verdana"/>
        <family val="2"/>
      </rPr>
      <t>filterin</t>
    </r>
    <r>
      <rPr>
        <sz val="12"/>
        <rFont val="Verdana"/>
        <family val="2"/>
      </rPr>
      <t xml:space="preserve"> tek kolona </t>
    </r>
    <r>
      <rPr>
        <b/>
        <sz val="12"/>
        <rFont val="Verdana"/>
        <family val="2"/>
      </rPr>
      <t>Bruto Paga</t>
    </r>
    <r>
      <rPr>
        <sz val="12"/>
        <rFont val="Verdana"/>
        <family val="2"/>
      </rPr>
      <t xml:space="preserve"> dhe zgjedh opcionin </t>
    </r>
    <r>
      <rPr>
        <b/>
        <sz val="12"/>
        <rFont val="Verdana"/>
        <family val="2"/>
      </rPr>
      <t>NonBlanks</t>
    </r>
    <r>
      <rPr>
        <sz val="12"/>
        <rFont val="Verdana"/>
        <family val="2"/>
      </rPr>
      <t xml:space="preserve"> për t'i shtypur vetëm punëtorët që kanë marrë rrogë për tremujorin e kërkuar.</t>
    </r>
  </si>
  <si>
    <r>
      <t xml:space="preserve">Pagesë e rrogave përmes bankës. Përdor </t>
    </r>
    <r>
      <rPr>
        <b/>
        <sz val="12"/>
        <rFont val="Verdana"/>
        <family val="2"/>
      </rPr>
      <t>Combo Box</t>
    </r>
    <r>
      <rPr>
        <sz val="12"/>
        <rFont val="Verdana"/>
        <family val="2"/>
      </rPr>
      <t xml:space="preserve"> për të zgjedhur muajin. Pastaj hap </t>
    </r>
    <r>
      <rPr>
        <b/>
        <sz val="12"/>
        <rFont val="Verdana"/>
        <family val="2"/>
      </rPr>
      <t>filterin</t>
    </r>
    <r>
      <rPr>
        <sz val="12"/>
        <rFont val="Verdana"/>
        <family val="2"/>
      </rPr>
      <t xml:space="preserve"> tek kolona </t>
    </r>
    <r>
      <rPr>
        <b/>
        <sz val="12"/>
        <rFont val="Verdana"/>
        <family val="2"/>
      </rPr>
      <t>Neto Paga</t>
    </r>
    <r>
      <rPr>
        <sz val="12"/>
        <rFont val="Verdana"/>
        <family val="2"/>
      </rPr>
      <t xml:space="preserve"> dhe zgjedh opcionin </t>
    </r>
    <r>
      <rPr>
        <b/>
        <sz val="12"/>
        <rFont val="Verdana"/>
        <family val="2"/>
      </rPr>
      <t>NonBlanks</t>
    </r>
    <r>
      <rPr>
        <sz val="12"/>
        <rFont val="Verdana"/>
        <family val="2"/>
      </rPr>
      <t xml:space="preserve"> për t'i shtypur vetëm punëtorët që marrin rrogë.</t>
    </r>
  </si>
  <si>
    <t>Hapi i tretë</t>
  </si>
  <si>
    <t>Fushat e lejuara për editim në listat e pagave janë:</t>
  </si>
  <si>
    <r>
      <t xml:space="preserve">Pasqyrë vjetore në total për kontributet dhe tatimin e mbajtur në burim për secilin punëtor të ndërmarrjes në fund të vitit. Zgjedh punëtorin me </t>
    </r>
    <r>
      <rPr>
        <b/>
        <sz val="12"/>
        <rFont val="Verdana"/>
        <family val="2"/>
      </rPr>
      <t>Spinner</t>
    </r>
    <r>
      <rPr>
        <sz val="12"/>
        <rFont val="Verdana"/>
        <family val="2"/>
      </rPr>
      <t xml:space="preserve"> apo shkruaj direkt numrin rendor të punëtorit, nëse e dini, në qelinë me ngjyrë të gjelbër.</t>
    </r>
  </si>
  <si>
    <t>* Statuti i punëtorit (shtyp 2 për punëdhënës sekondar, apo e lë të zbrazët siç është për punëdhënës primar)</t>
  </si>
  <si>
    <t>* Paga Bruto</t>
  </si>
  <si>
    <t>* Avansi</t>
  </si>
  <si>
    <t>* Përqindjet e kontributeve (mund t'i ndryshoni nëse ka nevojë)</t>
  </si>
  <si>
    <t>Hapësirat tjera janë të mbrojtura dhe nuk mund të editoni në to.</t>
  </si>
  <si>
    <r>
      <t xml:space="preserve">Mund të shfrytëzoni kalkulatorin për llogaritjen e pagës nga </t>
    </r>
    <r>
      <rPr>
        <b/>
        <sz val="12"/>
        <rFont val="Verdana"/>
        <family val="2"/>
      </rPr>
      <t>Neto</t>
    </r>
    <r>
      <rPr>
        <sz val="12"/>
        <rFont val="Verdana"/>
        <family val="2"/>
      </rPr>
      <t xml:space="preserve"> në </t>
    </r>
    <r>
      <rPr>
        <b/>
        <sz val="12"/>
        <rFont val="Verdana"/>
        <family val="2"/>
      </rPr>
      <t>Bruto</t>
    </r>
    <r>
      <rPr>
        <sz val="12"/>
        <rFont val="Verdana"/>
        <family val="2"/>
      </rPr>
      <t>.</t>
    </r>
  </si>
  <si>
    <t>Nëse nuk jeni në faqen kryesore, shtyp lidhjen &lt;kthehu prapa&gt; në krye të çdo faqe.</t>
  </si>
  <si>
    <t>deri në 10</t>
  </si>
  <si>
    <t>Pagat Ver 1.4</t>
  </si>
  <si>
    <t>Contact:</t>
  </si>
  <si>
    <t>Rreth programit</t>
  </si>
  <si>
    <r>
      <t>Programi</t>
    </r>
    <r>
      <rPr>
        <b/>
        <sz val="10"/>
        <rFont val="Arial"/>
        <family val="2"/>
      </rPr>
      <t xml:space="preserve"> Pagat Ver 1.4</t>
    </r>
    <r>
      <rPr>
        <sz val="10"/>
        <rFont val="Arial"/>
        <family val="2"/>
      </rPr>
      <t>, është një aplikacion shumë i lehtë për t'u përdorur, me anë të të cilit Ju mund t’i keni të gjitha raportet që kërkohen nga Administrata Tatimore e Kosovës, në mënyrë të qartë, të dizajnuara bukur, dhe matematikisht të kalkuluara saktë.</t>
    </r>
  </si>
  <si>
    <r>
      <t xml:space="preserve">Punojmë aplikacione/programe në gjuhët programuese
</t>
    </r>
    <r>
      <rPr>
        <b/>
        <sz val="14"/>
        <color indexed="12"/>
        <rFont val="Arial"/>
        <family val="2"/>
      </rPr>
      <t xml:space="preserve">Java </t>
    </r>
    <r>
      <rPr>
        <b/>
        <sz val="14"/>
        <rFont val="Arial"/>
        <family val="2"/>
      </rPr>
      <t>dhe</t>
    </r>
    <r>
      <rPr>
        <b/>
        <sz val="14"/>
        <color indexed="12"/>
        <rFont val="Arial"/>
        <family val="2"/>
      </rPr>
      <t xml:space="preserve"> C#.NET</t>
    </r>
    <r>
      <rPr>
        <b/>
        <sz val="14"/>
        <rFont val="Arial"/>
        <family val="2"/>
      </rPr>
      <t xml:space="preserve">
me bazë të shënimeve në </t>
    </r>
    <r>
      <rPr>
        <b/>
        <sz val="14"/>
        <color indexed="12"/>
        <rFont val="Arial"/>
        <family val="2"/>
      </rPr>
      <t xml:space="preserve">MS SQL Server </t>
    </r>
    <r>
      <rPr>
        <b/>
        <sz val="14"/>
        <rFont val="Arial"/>
        <family val="2"/>
      </rPr>
      <t>dhe</t>
    </r>
    <r>
      <rPr>
        <b/>
        <sz val="14"/>
        <color indexed="12"/>
        <rFont val="Arial"/>
        <family val="2"/>
      </rPr>
      <t xml:space="preserve"> MySQL</t>
    </r>
  </si>
  <si>
    <t>Fisnik Hoxha, autor</t>
  </si>
  <si>
    <t>Agim Mulliqi</t>
  </si>
  <si>
    <t>1002591541</t>
  </si>
  <si>
    <t>1013459742</t>
  </si>
  <si>
    <t>80258348/600456645</t>
  </si>
  <si>
    <t>Sylejman Dervishaj</t>
  </si>
  <si>
    <t>MALISHEVË</t>
  </si>
  <si>
    <t>Blerim Morina</t>
  </si>
  <si>
    <t>Albulena Morina</t>
  </si>
  <si>
    <t>=Shenime!D5</t>
  </si>
  <si>
    <t>Albana Hoti</t>
  </si>
  <si>
    <t>044-137-459</t>
  </si>
  <si>
    <t>PCB</t>
  </si>
  <si>
    <t xml:space="preserve">Malisheve </t>
  </si>
  <si>
    <t>00045214519</t>
  </si>
  <si>
    <t>Numri personal nga letërnjoftimit</t>
  </si>
  <si>
    <t>Numri personal i leternjoftimit</t>
  </si>
  <si>
    <t>ProCredit Bank</t>
  </si>
  <si>
    <t>000125412452</t>
  </si>
  <si>
    <t>ASTRONIK</t>
  </si>
  <si>
    <t>044/443-200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</si>
</sst>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_);\(0\)"/>
  </numFmts>
  <fonts count="6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sz val="7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6"/>
      <name val="Arial"/>
      <family val="2"/>
    </font>
    <font>
      <b/>
      <sz val="11"/>
      <name val="Arial"/>
      <family val="2"/>
    </font>
    <font>
      <sz val="14"/>
      <color indexed="18"/>
      <name val="Arial Black"/>
      <family val="2"/>
    </font>
    <font>
      <sz val="8"/>
      <name val="Arial"/>
      <family val="2"/>
    </font>
    <font>
      <b/>
      <u/>
      <sz val="9"/>
      <color indexed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u/>
      <sz val="8"/>
      <color indexed="12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b/>
      <sz val="13"/>
      <name val="Verdana"/>
      <family val="2"/>
    </font>
    <font>
      <b/>
      <sz val="14"/>
      <color indexed="10"/>
      <name val="Verdana"/>
      <family val="2"/>
    </font>
    <font>
      <b/>
      <u/>
      <sz val="12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Protection="1"/>
    <xf numFmtId="0" fontId="9" fillId="0" borderId="0" xfId="2" applyFont="1" applyAlignment="1" applyProtection="1">
      <alignment horizontal="center" vertical="center"/>
    </xf>
    <xf numFmtId="0" fontId="10" fillId="0" borderId="0" xfId="0" applyFont="1" applyProtection="1"/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2" borderId="2" xfId="0" applyNumberFormat="1" applyFont="1" applyFill="1" applyBorder="1" applyAlignment="1" applyProtection="1">
      <alignment vertical="center"/>
      <protection hidden="1"/>
    </xf>
    <xf numFmtId="1" fontId="5" fillId="2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Protection="1"/>
    <xf numFmtId="0" fontId="15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164" fontId="17" fillId="0" borderId="0" xfId="0" applyNumberFormat="1" applyFont="1" applyProtection="1"/>
    <xf numFmtId="0" fontId="17" fillId="0" borderId="0" xfId="0" applyFont="1" applyBorder="1" applyProtection="1"/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Protection="1">
      <protection hidden="1"/>
    </xf>
    <xf numFmtId="0" fontId="0" fillId="3" borderId="0" xfId="0" applyFill="1" applyProtection="1"/>
    <xf numFmtId="0" fontId="0" fillId="3" borderId="0" xfId="0" applyFill="1" applyProtection="1">
      <protection hidden="1"/>
    </xf>
    <xf numFmtId="0" fontId="21" fillId="3" borderId="3" xfId="0" applyFont="1" applyFill="1" applyBorder="1" applyAlignment="1" applyProtection="1">
      <alignment vertical="center"/>
      <protection hidden="1"/>
    </xf>
    <xf numFmtId="0" fontId="0" fillId="3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65" fontId="10" fillId="0" borderId="11" xfId="1" applyNumberFormat="1" applyFont="1" applyBorder="1" applyAlignment="1" applyProtection="1">
      <alignment vertical="center"/>
      <protection hidden="1"/>
    </xf>
    <xf numFmtId="165" fontId="10" fillId="0" borderId="12" xfId="1" applyNumberFormat="1" applyFont="1" applyBorder="1" applyAlignment="1" applyProtection="1">
      <alignment vertical="center"/>
      <protection hidden="1"/>
    </xf>
    <xf numFmtId="165" fontId="10" fillId="0" borderId="13" xfId="1" applyNumberFormat="1" applyFont="1" applyBorder="1" applyAlignment="1" applyProtection="1">
      <alignment vertical="center"/>
      <protection hidden="1"/>
    </xf>
    <xf numFmtId="164" fontId="3" fillId="0" borderId="8" xfId="1" applyFont="1" applyFill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3" fillId="0" borderId="14" xfId="0" applyFont="1" applyBorder="1" applyProtection="1"/>
    <xf numFmtId="0" fontId="17" fillId="0" borderId="14" xfId="0" applyFont="1" applyBorder="1" applyProtection="1"/>
    <xf numFmtId="0" fontId="6" fillId="0" borderId="0" xfId="0" applyFont="1" applyBorder="1" applyAlignment="1" applyProtection="1">
      <alignment vertical="top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vertical="center"/>
    </xf>
    <xf numFmtId="0" fontId="5" fillId="0" borderId="0" xfId="0" applyFont="1" applyProtection="1"/>
    <xf numFmtId="0" fontId="5" fillId="0" borderId="14" xfId="0" applyFont="1" applyBorder="1" applyAlignment="1" applyProtection="1">
      <alignment vertical="top"/>
    </xf>
    <xf numFmtId="0" fontId="0" fillId="0" borderId="0" xfId="0" applyAlignment="1"/>
    <xf numFmtId="0" fontId="0" fillId="0" borderId="14" xfId="0" applyBorder="1" applyAlignment="1">
      <alignment horizontal="left"/>
    </xf>
    <xf numFmtId="0" fontId="5" fillId="0" borderId="0" xfId="0" applyFont="1" applyBorder="1" applyProtection="1"/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/>
    <xf numFmtId="0" fontId="20" fillId="4" borderId="15" xfId="0" applyFont="1" applyFill="1" applyBorder="1" applyAlignment="1" applyProtection="1">
      <alignment horizontal="center" vertical="center"/>
      <protection locked="0" hidden="1"/>
    </xf>
    <xf numFmtId="16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26" fillId="0" borderId="0" xfId="0" applyFont="1" applyProtection="1"/>
    <xf numFmtId="0" fontId="10" fillId="0" borderId="0" xfId="0" applyFont="1" applyAlignment="1"/>
    <xf numFmtId="0" fontId="10" fillId="0" borderId="14" xfId="0" applyFont="1" applyBorder="1" applyAlignment="1">
      <alignment vertical="center"/>
    </xf>
    <xf numFmtId="0" fontId="26" fillId="0" borderId="14" xfId="0" applyFont="1" applyBorder="1" applyProtection="1"/>
    <xf numFmtId="0" fontId="12" fillId="0" borderId="16" xfId="0" applyFont="1" applyBorder="1" applyProtection="1"/>
    <xf numFmtId="0" fontId="12" fillId="0" borderId="17" xfId="0" applyFont="1" applyBorder="1" applyAlignment="1" applyProtection="1">
      <alignment vertical="center"/>
    </xf>
    <xf numFmtId="0" fontId="12" fillId="0" borderId="18" xfId="0" applyFont="1" applyBorder="1" applyProtection="1"/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7" fillId="0" borderId="18" xfId="0" applyFont="1" applyBorder="1" applyProtection="1"/>
    <xf numFmtId="0" fontId="17" fillId="0" borderId="0" xfId="0" applyFont="1" applyBorder="1" applyAlignment="1" applyProtection="1">
      <alignment vertical="center"/>
    </xf>
    <xf numFmtId="0" fontId="17" fillId="0" borderId="19" xfId="0" applyFont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3" fillId="0" borderId="18" xfId="0" applyFont="1" applyBorder="1" applyProtection="1"/>
    <xf numFmtId="0" fontId="13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vertical="center"/>
    </xf>
    <xf numFmtId="0" fontId="13" fillId="0" borderId="0" xfId="0" applyFont="1" applyProtection="1"/>
    <xf numFmtId="0" fontId="13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20" xfId="0" applyFont="1" applyBorder="1" applyProtection="1"/>
    <xf numFmtId="0" fontId="12" fillId="0" borderId="21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vertical="center"/>
    </xf>
    <xf numFmtId="0" fontId="34" fillId="3" borderId="0" xfId="0" applyFont="1" applyFill="1" applyProtection="1"/>
    <xf numFmtId="0" fontId="36" fillId="0" borderId="0" xfId="2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 applyProtection="1"/>
    <xf numFmtId="49" fontId="10" fillId="0" borderId="0" xfId="0" applyNumberFormat="1" applyFont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164" fontId="43" fillId="0" borderId="0" xfId="1" applyFont="1" applyAlignment="1" applyProtection="1">
      <alignment vertical="center"/>
    </xf>
    <xf numFmtId="164" fontId="43" fillId="0" borderId="15" xfId="1" applyFont="1" applyBorder="1" applyAlignment="1" applyProtection="1">
      <alignment vertical="center"/>
    </xf>
    <xf numFmtId="164" fontId="44" fillId="2" borderId="15" xfId="1" applyFont="1" applyFill="1" applyBorder="1" applyAlignment="1" applyProtection="1">
      <alignment vertical="center"/>
    </xf>
    <xf numFmtId="0" fontId="39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center"/>
      <protection hidden="1"/>
    </xf>
    <xf numFmtId="165" fontId="38" fillId="0" borderId="0" xfId="1" applyNumberFormat="1" applyFont="1" applyAlignment="1" applyProtection="1">
      <alignment vertical="center"/>
      <protection hidden="1"/>
    </xf>
    <xf numFmtId="0" fontId="40" fillId="2" borderId="15" xfId="0" applyNumberFormat="1" applyFont="1" applyFill="1" applyBorder="1" applyAlignment="1" applyProtection="1">
      <alignment horizontal="center" vertical="center"/>
      <protection hidden="1"/>
    </xf>
    <xf numFmtId="0" fontId="39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164" fontId="4" fillId="2" borderId="15" xfId="1" applyFont="1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8" fillId="0" borderId="0" xfId="0" quotePrefix="1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9" fontId="10" fillId="0" borderId="14" xfId="0" applyNumberFormat="1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9" fontId="10" fillId="0" borderId="0" xfId="0" applyNumberFormat="1" applyFont="1" applyAlignment="1" applyProtection="1">
      <alignment vertical="center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164" fontId="4" fillId="0" borderId="15" xfId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164" fontId="37" fillId="2" borderId="15" xfId="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37" fillId="0" borderId="14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64" fontId="10" fillId="0" borderId="15" xfId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9" fontId="10" fillId="2" borderId="15" xfId="3" quotePrefix="1" applyFont="1" applyFill="1" applyBorder="1" applyAlignment="1" applyProtection="1">
      <alignment horizontal="right" vertical="center"/>
      <protection hidden="1"/>
    </xf>
    <xf numFmtId="0" fontId="41" fillId="0" borderId="0" xfId="0" quotePrefix="1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right" vertical="center"/>
      <protection hidden="1"/>
    </xf>
    <xf numFmtId="164" fontId="10" fillId="0" borderId="14" xfId="1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9" fontId="10" fillId="0" borderId="14" xfId="3" quotePrefix="1" applyFont="1" applyBorder="1" applyAlignment="1" applyProtection="1">
      <alignment horizontal="right" vertical="center"/>
      <protection hidden="1"/>
    </xf>
    <xf numFmtId="0" fontId="10" fillId="0" borderId="14" xfId="0" quotePrefix="1" applyFont="1" applyBorder="1" applyAlignment="1" applyProtection="1">
      <alignment horizontal="center" vertical="center"/>
      <protection hidden="1"/>
    </xf>
    <xf numFmtId="164" fontId="10" fillId="0" borderId="0" xfId="1" applyFont="1" applyBorder="1" applyAlignment="1" applyProtection="1">
      <alignment vertical="center"/>
      <protection hidden="1"/>
    </xf>
    <xf numFmtId="9" fontId="10" fillId="0" borderId="0" xfId="3" quotePrefix="1" applyFont="1" applyBorder="1" applyAlignment="1" applyProtection="1">
      <alignment horizontal="right" vertical="center"/>
      <protection hidden="1"/>
    </xf>
    <xf numFmtId="0" fontId="10" fillId="0" borderId="0" xfId="0" quotePrefix="1" applyFont="1" applyBorder="1" applyAlignment="1" applyProtection="1">
      <alignment horizontal="center" vertical="center"/>
      <protection hidden="1"/>
    </xf>
    <xf numFmtId="9" fontId="10" fillId="2" borderId="15" xfId="3" applyFont="1" applyFill="1" applyBorder="1" applyAlignment="1" applyProtection="1">
      <alignment vertical="center"/>
      <protection hidden="1"/>
    </xf>
    <xf numFmtId="9" fontId="10" fillId="0" borderId="0" xfId="3" applyFont="1" applyBorder="1" applyAlignment="1" applyProtection="1">
      <alignment vertical="center"/>
      <protection hidden="1"/>
    </xf>
    <xf numFmtId="0" fontId="10" fillId="0" borderId="14" xfId="0" quotePrefix="1" applyFont="1" applyBorder="1" applyAlignment="1" applyProtection="1">
      <alignment horizontal="right" vertical="center"/>
      <protection hidden="1"/>
    </xf>
    <xf numFmtId="0" fontId="10" fillId="0" borderId="0" xfId="0" quotePrefix="1" applyFont="1" applyBorder="1" applyAlignment="1" applyProtection="1">
      <alignment horizontal="right" vertical="center"/>
      <protection hidden="1"/>
    </xf>
    <xf numFmtId="39" fontId="10" fillId="0" borderId="14" xfId="0" applyNumberFormat="1" applyFont="1" applyBorder="1" applyAlignment="1" applyProtection="1">
      <alignment vertical="center"/>
      <protection hidden="1"/>
    </xf>
    <xf numFmtId="39" fontId="10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4" borderId="22" xfId="0" applyNumberFormat="1" applyFont="1" applyFill="1" applyBorder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165" fontId="10" fillId="0" borderId="0" xfId="1" applyNumberFormat="1" applyFont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64" fontId="0" fillId="0" borderId="2" xfId="1" applyFont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4" fontId="12" fillId="0" borderId="0" xfId="0" applyNumberFormat="1" applyFont="1" applyProtection="1">
      <protection hidden="1"/>
    </xf>
    <xf numFmtId="39" fontId="10" fillId="0" borderId="0" xfId="1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25" fillId="4" borderId="25" xfId="0" applyFont="1" applyFill="1" applyBorder="1" applyAlignment="1" applyProtection="1">
      <alignment horizontal="center" vertical="center"/>
      <protection hidden="1"/>
    </xf>
    <xf numFmtId="164" fontId="25" fillId="4" borderId="26" xfId="1" applyFont="1" applyFill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164" fontId="24" fillId="0" borderId="28" xfId="1" applyFont="1" applyBorder="1" applyAlignment="1" applyProtection="1">
      <alignment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164" fontId="24" fillId="0" borderId="30" xfId="1" applyFont="1" applyBorder="1" applyAlignment="1" applyProtection="1">
      <alignment vertic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164" fontId="24" fillId="0" borderId="32" xfId="1" applyFont="1" applyBorder="1" applyAlignment="1" applyProtection="1">
      <alignment horizontal="center" vertical="center"/>
      <protection hidden="1"/>
    </xf>
    <xf numFmtId="0" fontId="47" fillId="0" borderId="0" xfId="2" applyFont="1" applyAlignment="1" applyProtection="1">
      <alignment horizontal="center" vertical="center"/>
    </xf>
    <xf numFmtId="164" fontId="11" fillId="0" borderId="33" xfId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locked="0" hidden="1"/>
    </xf>
    <xf numFmtId="164" fontId="11" fillId="0" borderId="3" xfId="1" applyFont="1" applyFill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protection hidden="1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top"/>
      <protection hidden="1"/>
    </xf>
    <xf numFmtId="164" fontId="11" fillId="0" borderId="3" xfId="0" applyNumberFormat="1" applyFont="1" applyFill="1" applyBorder="1" applyAlignment="1" applyProtection="1">
      <alignment vertical="top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10" fontId="48" fillId="4" borderId="2" xfId="3" applyNumberFormat="1" applyFont="1" applyFill="1" applyBorder="1" applyAlignment="1" applyProtection="1">
      <alignment horizontal="right" vertical="center"/>
      <protection locked="0" hidden="1"/>
    </xf>
    <xf numFmtId="164" fontId="48" fillId="4" borderId="2" xfId="1" applyFont="1" applyFill="1" applyBorder="1" applyAlignment="1" applyProtection="1">
      <alignment horizontal="center" vertical="center"/>
      <protection locked="0" hidden="1"/>
    </xf>
    <xf numFmtId="164" fontId="48" fillId="0" borderId="3" xfId="1" applyFont="1" applyFill="1" applyBorder="1" applyAlignment="1" applyProtection="1">
      <protection hidden="1"/>
    </xf>
    <xf numFmtId="164" fontId="48" fillId="0" borderId="3" xfId="0" applyNumberFormat="1" applyFont="1" applyFill="1" applyBorder="1" applyAlignment="1" applyProtection="1">
      <alignment vertical="top"/>
      <protection hidden="1"/>
    </xf>
    <xf numFmtId="164" fontId="48" fillId="2" borderId="2" xfId="0" applyNumberFormat="1" applyFont="1" applyFill="1" applyBorder="1" applyAlignment="1" applyProtection="1">
      <alignment vertical="center"/>
      <protection hidden="1"/>
    </xf>
    <xf numFmtId="165" fontId="10" fillId="0" borderId="15" xfId="1" applyNumberFormat="1" applyFont="1" applyBorder="1" applyAlignment="1" applyProtection="1">
      <alignment vertical="center"/>
      <protection hidden="1"/>
    </xf>
    <xf numFmtId="49" fontId="10" fillId="4" borderId="15" xfId="0" applyNumberFormat="1" applyFont="1" applyFill="1" applyBorder="1" applyAlignment="1" applyProtection="1">
      <alignment vertical="center" wrapText="1"/>
      <protection locked="0"/>
    </xf>
    <xf numFmtId="49" fontId="1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49" fontId="5" fillId="0" borderId="15" xfId="1" applyNumberFormat="1" applyFont="1" applyFill="1" applyBorder="1" applyAlignment="1" applyProtection="1">
      <alignment vertical="center"/>
      <protection hidden="1"/>
    </xf>
    <xf numFmtId="1" fontId="5" fillId="4" borderId="15" xfId="1" applyNumberFormat="1" applyFont="1" applyFill="1" applyBorder="1" applyAlignment="1" applyProtection="1">
      <alignment horizontal="center" vertical="center"/>
      <protection locked="0" hidden="1"/>
    </xf>
    <xf numFmtId="39" fontId="5" fillId="4" borderId="15" xfId="1" applyNumberFormat="1" applyFont="1" applyFill="1" applyBorder="1" applyAlignment="1" applyProtection="1">
      <alignment vertical="center"/>
      <protection locked="0" hidden="1"/>
    </xf>
    <xf numFmtId="164" fontId="5" fillId="4" borderId="15" xfId="1" applyFont="1" applyFill="1" applyBorder="1" applyAlignment="1" applyProtection="1">
      <alignment vertical="center"/>
      <protection locked="0" hidden="1"/>
    </xf>
    <xf numFmtId="10" fontId="5" fillId="4" borderId="15" xfId="3" applyNumberFormat="1" applyFont="1" applyFill="1" applyBorder="1" applyAlignment="1" applyProtection="1">
      <alignment vertical="center"/>
      <protection locked="0" hidden="1"/>
    </xf>
    <xf numFmtId="164" fontId="5" fillId="0" borderId="15" xfId="1" quotePrefix="1" applyNumberFormat="1" applyFont="1" applyFill="1" applyBorder="1" applyAlignment="1" applyProtection="1">
      <alignment vertical="center"/>
      <protection hidden="1"/>
    </xf>
    <xf numFmtId="164" fontId="5" fillId="0" borderId="15" xfId="1" quotePrefix="1" applyFont="1" applyFill="1" applyBorder="1" applyAlignment="1" applyProtection="1">
      <alignment vertical="center"/>
      <protection hidden="1"/>
    </xf>
    <xf numFmtId="164" fontId="5" fillId="2" borderId="15" xfId="1" applyFont="1" applyFill="1" applyBorder="1" applyAlignment="1" applyProtection="1">
      <alignment vertical="center"/>
      <protection hidden="1"/>
    </xf>
    <xf numFmtId="164" fontId="5" fillId="0" borderId="15" xfId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165" fontId="22" fillId="0" borderId="15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165" fontId="2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2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44" fillId="2" borderId="34" xfId="0" applyFont="1" applyFill="1" applyBorder="1" applyAlignment="1" applyProtection="1">
      <alignment horizontal="center" vertical="center" wrapText="1"/>
    </xf>
    <xf numFmtId="49" fontId="10" fillId="0" borderId="15" xfId="1" applyNumberFormat="1" applyFont="1" applyBorder="1" applyAlignment="1" applyProtection="1">
      <alignment horizontal="center" vertical="center"/>
      <protection hidden="1"/>
    </xf>
    <xf numFmtId="49" fontId="10" fillId="0" borderId="15" xfId="0" applyNumberFormat="1" applyFont="1" applyBorder="1" applyAlignment="1" applyProtection="1">
      <alignment horizontal="left" vertical="center"/>
      <protection hidden="1"/>
    </xf>
    <xf numFmtId="49" fontId="10" fillId="0" borderId="15" xfId="0" applyNumberFormat="1" applyFont="1" applyBorder="1" applyAlignment="1" applyProtection="1">
      <alignment horizontal="center" vertical="center"/>
      <protection hidden="1"/>
    </xf>
    <xf numFmtId="39" fontId="10" fillId="0" borderId="15" xfId="1" applyNumberFormat="1" applyFont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locked="0"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39" fontId="10" fillId="2" borderId="15" xfId="1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49" fontId="10" fillId="0" borderId="15" xfId="0" applyNumberFormat="1" applyFont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165" fontId="17" fillId="0" borderId="15" xfId="1" applyNumberFormat="1" applyFont="1" applyFill="1" applyBorder="1" applyAlignment="1" applyProtection="1">
      <alignment vertical="center"/>
      <protection hidden="1"/>
    </xf>
    <xf numFmtId="49" fontId="17" fillId="0" borderId="15" xfId="0" applyNumberFormat="1" applyFont="1" applyBorder="1" applyAlignment="1" applyProtection="1">
      <alignment vertical="center"/>
      <protection hidden="1"/>
    </xf>
    <xf numFmtId="49" fontId="17" fillId="0" borderId="15" xfId="0" applyNumberFormat="1" applyFont="1" applyBorder="1" applyAlignment="1" applyProtection="1">
      <alignment horizontal="center" vertical="center"/>
      <protection hidden="1"/>
    </xf>
    <xf numFmtId="4" fontId="17" fillId="0" borderId="15" xfId="1" applyNumberFormat="1" applyFont="1" applyFill="1" applyBorder="1" applyAlignment="1" applyProtection="1">
      <alignment vertical="center"/>
      <protection hidden="1"/>
    </xf>
    <xf numFmtId="4" fontId="13" fillId="2" borderId="15" xfId="1" applyNumberFormat="1" applyFont="1" applyFill="1" applyBorder="1" applyAlignment="1" applyProtection="1">
      <alignment vertical="center"/>
      <protection hidden="1"/>
    </xf>
    <xf numFmtId="0" fontId="0" fillId="0" borderId="15" xfId="0" applyBorder="1" applyAlignment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164" fontId="4" fillId="3" borderId="15" xfId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164" fontId="7" fillId="0" borderId="15" xfId="1" applyFont="1" applyBorder="1" applyAlignment="1" applyProtection="1">
      <alignment horizontal="center" vertical="center"/>
      <protection hidden="1"/>
    </xf>
    <xf numFmtId="164" fontId="3" fillId="0" borderId="15" xfId="1" applyFont="1" applyBorder="1" applyAlignment="1" applyProtection="1">
      <alignment vertical="center"/>
      <protection hidden="1"/>
    </xf>
    <xf numFmtId="164" fontId="10" fillId="0" borderId="15" xfId="1" applyFont="1" applyBorder="1" applyAlignment="1" applyProtection="1">
      <alignment vertical="center"/>
      <protection hidden="1"/>
    </xf>
    <xf numFmtId="164" fontId="3" fillId="0" borderId="0" xfId="1" applyFont="1" applyFill="1" applyBorder="1" applyAlignment="1" applyProtection="1">
      <alignment horizontal="right" vertical="center"/>
      <protection hidden="1"/>
    </xf>
    <xf numFmtId="164" fontId="10" fillId="3" borderId="15" xfId="1" applyFont="1" applyFill="1" applyBorder="1" applyAlignment="1" applyProtection="1">
      <alignment vertical="center"/>
      <protection hidden="1"/>
    </xf>
    <xf numFmtId="164" fontId="10" fillId="3" borderId="10" xfId="1" applyFont="1" applyFill="1" applyBorder="1" applyAlignment="1" applyProtection="1">
      <alignment vertical="center"/>
      <protection hidden="1"/>
    </xf>
    <xf numFmtId="0" fontId="49" fillId="0" borderId="0" xfId="0" applyNumberFormat="1" applyFont="1" applyFill="1"/>
    <xf numFmtId="0" fontId="50" fillId="0" borderId="3" xfId="1" applyNumberFormat="1" applyFont="1" applyFill="1" applyBorder="1" applyAlignment="1" applyProtection="1">
      <alignment horizontal="left" vertical="center"/>
      <protection hidden="1"/>
    </xf>
    <xf numFmtId="0" fontId="52" fillId="0" borderId="0" xfId="0" applyNumberFormat="1" applyFont="1" applyFill="1" applyProtection="1">
      <protection hidden="1"/>
    </xf>
    <xf numFmtId="0" fontId="52" fillId="0" borderId="0" xfId="1" applyNumberFormat="1" applyFont="1" applyFill="1" applyAlignment="1">
      <alignment vertical="center"/>
    </xf>
    <xf numFmtId="0" fontId="53" fillId="0" borderId="0" xfId="1" applyNumberFormat="1" applyFont="1" applyFill="1" applyAlignment="1">
      <alignment vertical="center" wrapText="1"/>
    </xf>
    <xf numFmtId="0" fontId="53" fillId="0" borderId="0" xfId="0" applyNumberFormat="1" applyFont="1" applyFill="1" applyProtection="1">
      <protection hidden="1"/>
    </xf>
    <xf numFmtId="0" fontId="49" fillId="0" borderId="0" xfId="0" applyNumberFormat="1" applyFont="1" applyFill="1" applyAlignment="1">
      <alignment vertical="center"/>
    </xf>
    <xf numFmtId="0" fontId="48" fillId="0" borderId="0" xfId="1" applyNumberFormat="1" applyFont="1" applyFill="1" applyAlignment="1" applyProtection="1">
      <alignment vertical="center" wrapText="1"/>
      <protection hidden="1"/>
    </xf>
    <xf numFmtId="0" fontId="52" fillId="0" borderId="0" xfId="1" applyNumberFormat="1" applyFont="1" applyFill="1" applyAlignment="1">
      <alignment vertical="center" wrapText="1"/>
    </xf>
    <xf numFmtId="0" fontId="48" fillId="0" borderId="0" xfId="1" applyNumberFormat="1" applyFont="1" applyFill="1" applyAlignment="1">
      <alignment vertical="center" wrapText="1"/>
    </xf>
    <xf numFmtId="0" fontId="48" fillId="0" borderId="0" xfId="0" applyNumberFormat="1" applyFont="1" applyFill="1"/>
    <xf numFmtId="0" fontId="48" fillId="0" borderId="0" xfId="0" applyNumberFormat="1" applyFont="1" applyFill="1" applyAlignment="1" applyProtection="1">
      <alignment vertical="center" wrapText="1"/>
      <protection hidden="1"/>
    </xf>
    <xf numFmtId="0" fontId="48" fillId="0" borderId="0" xfId="0" applyNumberFormat="1" applyFont="1" applyFill="1" applyProtection="1">
      <protection hidden="1"/>
    </xf>
    <xf numFmtId="0" fontId="48" fillId="0" borderId="0" xfId="0" applyNumberFormat="1" applyFont="1" applyFill="1" applyAlignment="1" applyProtection="1">
      <alignment vertical="top" wrapText="1"/>
      <protection hidden="1"/>
    </xf>
    <xf numFmtId="0" fontId="49" fillId="0" borderId="0" xfId="0" applyNumberFormat="1" applyFont="1" applyFill="1" applyProtection="1">
      <protection hidden="1"/>
    </xf>
    <xf numFmtId="0" fontId="54" fillId="0" borderId="0" xfId="0" applyNumberFormat="1" applyFont="1" applyFill="1" applyProtection="1">
      <protection hidden="1"/>
    </xf>
    <xf numFmtId="0" fontId="55" fillId="0" borderId="0" xfId="2" applyNumberFormat="1" applyFont="1" applyFill="1" applyAlignment="1" applyProtection="1">
      <alignment horizontal="left" vertical="center"/>
    </xf>
    <xf numFmtId="0" fontId="54" fillId="0" borderId="3" xfId="0" applyNumberFormat="1" applyFont="1" applyFill="1" applyBorder="1" applyProtection="1">
      <protection hidden="1"/>
    </xf>
    <xf numFmtId="0" fontId="48" fillId="0" borderId="0" xfId="0" applyNumberFormat="1" applyFont="1" applyFill="1" applyBorder="1" applyAlignment="1" applyProtection="1">
      <alignment vertical="top" wrapText="1"/>
      <protection hidden="1"/>
    </xf>
    <xf numFmtId="0" fontId="56" fillId="0" borderId="3" xfId="0" applyNumberFormat="1" applyFont="1" applyFill="1" applyBorder="1" applyAlignment="1" applyProtection="1">
      <protection hidden="1"/>
    </xf>
    <xf numFmtId="0" fontId="56" fillId="0" borderId="3" xfId="0" applyNumberFormat="1" applyFont="1" applyFill="1" applyBorder="1" applyAlignment="1" applyProtection="1">
      <alignment wrapText="1"/>
      <protection hidden="1"/>
    </xf>
    <xf numFmtId="0" fontId="53" fillId="0" borderId="1" xfId="1" applyNumberFormat="1" applyFont="1" applyFill="1" applyBorder="1" applyAlignment="1" applyProtection="1">
      <alignment wrapText="1"/>
      <protection hidden="1"/>
    </xf>
    <xf numFmtId="0" fontId="54" fillId="0" borderId="0" xfId="0" applyNumberFormat="1" applyFont="1" applyFill="1" applyBorder="1" applyProtection="1">
      <protection hidden="1"/>
    </xf>
    <xf numFmtId="0" fontId="48" fillId="0" borderId="0" xfId="1" applyNumberFormat="1" applyFont="1" applyFill="1" applyAlignment="1" applyProtection="1">
      <alignment wrapText="1"/>
      <protection hidden="1"/>
    </xf>
    <xf numFmtId="49" fontId="46" fillId="4" borderId="0" xfId="1" applyNumberFormat="1" applyFont="1" applyFill="1" applyBorder="1" applyAlignment="1" applyProtection="1">
      <alignment horizontal="left" vertical="center" wrapText="1"/>
      <protection hidden="1"/>
    </xf>
    <xf numFmtId="0" fontId="48" fillId="0" borderId="35" xfId="1" applyNumberFormat="1" applyFont="1" applyFill="1" applyBorder="1" applyAlignment="1" applyProtection="1">
      <alignment vertical="center" wrapText="1"/>
      <protection hidden="1"/>
    </xf>
    <xf numFmtId="0" fontId="48" fillId="0" borderId="0" xfId="1" applyNumberFormat="1" applyFont="1" applyFill="1" applyBorder="1" applyAlignment="1" applyProtection="1">
      <alignment vertical="center" wrapText="1"/>
      <protection hidden="1"/>
    </xf>
    <xf numFmtId="49" fontId="46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45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7" fillId="0" borderId="3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8" fillId="0" borderId="0" xfId="2" applyFont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protection hidden="1"/>
    </xf>
    <xf numFmtId="0" fontId="0" fillId="0" borderId="3" xfId="0" applyBorder="1"/>
    <xf numFmtId="0" fontId="6" fillId="0" borderId="3" xfId="0" applyFont="1" applyBorder="1" applyAlignment="1" applyProtection="1">
      <alignment horizontal="left"/>
      <protection hidden="1"/>
    </xf>
    <xf numFmtId="49" fontId="5" fillId="4" borderId="15" xfId="0" applyNumberFormat="1" applyFont="1" applyFill="1" applyBorder="1" applyAlignment="1" applyProtection="1">
      <alignment vertical="center" wrapText="1"/>
      <protection locked="0"/>
    </xf>
    <xf numFmtId="49" fontId="6" fillId="4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49" fontId="3" fillId="2" borderId="36" xfId="0" applyNumberFormat="1" applyFont="1" applyFill="1" applyBorder="1" applyAlignment="1" applyProtection="1">
      <alignment horizontal="center" vertical="center"/>
      <protection hidden="1"/>
    </xf>
    <xf numFmtId="49" fontId="3" fillId="2" borderId="22" xfId="0" applyNumberFormat="1" applyFont="1" applyFill="1" applyBorder="1" applyAlignment="1" applyProtection="1">
      <alignment horizontal="center" vertical="center"/>
      <protection hidden="1"/>
    </xf>
    <xf numFmtId="49" fontId="3" fillId="2" borderId="37" xfId="0" applyNumberFormat="1" applyFont="1" applyFill="1" applyBorder="1" applyAlignment="1" applyProtection="1">
      <alignment horizontal="center" vertical="center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/>
      <protection hidden="1"/>
    </xf>
    <xf numFmtId="49" fontId="33" fillId="2" borderId="36" xfId="0" applyNumberFormat="1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/>
      <protection hidden="1"/>
    </xf>
    <xf numFmtId="49" fontId="33" fillId="2" borderId="37" xfId="0" applyNumberFormat="1" applyFont="1" applyFill="1" applyBorder="1" applyAlignment="1" applyProtection="1">
      <alignment horizontal="center" vertical="center"/>
      <protection hidden="1"/>
    </xf>
    <xf numFmtId="49" fontId="3" fillId="2" borderId="36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36" xfId="0" applyNumberFormat="1" applyFont="1" applyFill="1" applyBorder="1" applyAlignment="1" applyProtection="1">
      <alignment horizontal="center" vertical="center"/>
      <protection hidden="1"/>
    </xf>
    <xf numFmtId="49" fontId="6" fillId="2" borderId="22" xfId="0" applyNumberFormat="1" applyFont="1" applyFill="1" applyBorder="1" applyAlignment="1" applyProtection="1">
      <alignment horizontal="center" vertical="center"/>
      <protection hidden="1"/>
    </xf>
    <xf numFmtId="49" fontId="6" fillId="2" borderId="37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64" fontId="3" fillId="0" borderId="0" xfId="1" applyFont="1" applyFill="1" applyBorder="1" applyAlignment="1" applyProtection="1">
      <alignment horizontal="center"/>
      <protection hidden="1"/>
    </xf>
    <xf numFmtId="164" fontId="3" fillId="0" borderId="14" xfId="1" applyFont="1" applyFill="1" applyBorder="1" applyAlignment="1" applyProtection="1">
      <alignment horizont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top" wrapText="1"/>
      <protection hidden="1"/>
    </xf>
    <xf numFmtId="49" fontId="6" fillId="2" borderId="40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4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42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39" fillId="2" borderId="36" xfId="0" applyFont="1" applyFill="1" applyBorder="1" applyAlignment="1" applyProtection="1">
      <alignment horizontal="center" vertical="center"/>
      <protection locked="0" hidden="1"/>
    </xf>
    <xf numFmtId="0" fontId="39" fillId="2" borderId="37" xfId="0" applyFont="1" applyFill="1" applyBorder="1" applyAlignment="1" applyProtection="1">
      <alignment horizontal="center" vertical="center"/>
      <protection locked="0" hidden="1"/>
    </xf>
    <xf numFmtId="0" fontId="33" fillId="2" borderId="36" xfId="0" applyFont="1" applyFill="1" applyBorder="1" applyAlignment="1" applyProtection="1">
      <alignment horizontal="center" vertical="center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10" fillId="2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22" xfId="0" applyNumberFormat="1" applyFont="1" applyFill="1" applyBorder="1" applyAlignment="1" applyProtection="1">
      <alignment horizontal="center" vertical="center"/>
      <protection hidden="1"/>
    </xf>
    <xf numFmtId="0" fontId="10" fillId="2" borderId="37" xfId="0" applyNumberFormat="1" applyFont="1" applyFill="1" applyBorder="1" applyAlignment="1" applyProtection="1">
      <alignment horizontal="center" vertical="center"/>
      <protection hidden="1"/>
    </xf>
    <xf numFmtId="164" fontId="3" fillId="0" borderId="36" xfId="1" applyFont="1" applyFill="1" applyBorder="1" applyAlignment="1" applyProtection="1">
      <alignment horizontal="center" vertical="center"/>
      <protection hidden="1"/>
    </xf>
    <xf numFmtId="164" fontId="3" fillId="0" borderId="37" xfId="1" applyFont="1" applyFill="1" applyBorder="1" applyAlignment="1" applyProtection="1">
      <alignment horizontal="center" vertical="center"/>
      <protection hidden="1"/>
    </xf>
    <xf numFmtId="164" fontId="3" fillId="2" borderId="36" xfId="1" applyFont="1" applyFill="1" applyBorder="1" applyAlignment="1" applyProtection="1">
      <alignment horizontal="center" vertical="center"/>
      <protection hidden="1"/>
    </xf>
    <xf numFmtId="164" fontId="3" fillId="2" borderId="37" xfId="1" applyFont="1" applyFill="1" applyBorder="1" applyAlignment="1" applyProtection="1">
      <alignment horizontal="center" vertical="center"/>
      <protection hidden="1"/>
    </xf>
    <xf numFmtId="0" fontId="6" fillId="2" borderId="36" xfId="0" applyNumberFormat="1" applyFont="1" applyFill="1" applyBorder="1" applyAlignment="1" applyProtection="1">
      <alignment horizontal="center" vertical="center"/>
      <protection hidden="1"/>
    </xf>
    <xf numFmtId="0" fontId="6" fillId="2" borderId="22" xfId="0" applyNumberFormat="1" applyFont="1" applyFill="1" applyBorder="1" applyAlignment="1" applyProtection="1">
      <alignment horizontal="center" vertical="center"/>
      <protection hidden="1"/>
    </xf>
    <xf numFmtId="0" fontId="6" fillId="2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37" xfId="0" applyNumberFormat="1" applyFont="1" applyFill="1" applyBorder="1" applyAlignment="1" applyProtection="1">
      <alignment horizontal="center" vertical="center"/>
      <protection hidden="1"/>
    </xf>
    <xf numFmtId="49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2" borderId="36" xfId="0" applyNumberFormat="1" applyFont="1" applyFill="1" applyBorder="1" applyAlignment="1" applyProtection="1">
      <alignment horizontal="center" vertical="center"/>
      <protection hidden="1"/>
    </xf>
    <xf numFmtId="0" fontId="16" fillId="2" borderId="22" xfId="0" applyNumberFormat="1" applyFont="1" applyFill="1" applyBorder="1" applyAlignment="1" applyProtection="1">
      <alignment horizontal="center" vertical="center"/>
      <protection hidden="1"/>
    </xf>
    <xf numFmtId="0" fontId="16" fillId="2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49" fontId="13" fillId="0" borderId="28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27" xfId="0" applyNumberFormat="1" applyFont="1" applyFill="1" applyBorder="1" applyAlignment="1" applyProtection="1">
      <alignment horizontal="center" vertical="center"/>
      <protection hidden="1"/>
    </xf>
    <xf numFmtId="0" fontId="13" fillId="0" borderId="28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164" fontId="4" fillId="3" borderId="15" xfId="1" applyFont="1" applyFill="1" applyBorder="1" applyAlignment="1" applyProtection="1">
      <alignment horizontal="center" vertical="center" wrapText="1"/>
      <protection hidden="1"/>
    </xf>
    <xf numFmtId="49" fontId="6" fillId="3" borderId="15" xfId="0" applyNumberFormat="1" applyFont="1" applyFill="1" applyBorder="1" applyAlignment="1" applyProtection="1">
      <alignment horizontal="left" vertical="center"/>
      <protection hidden="1"/>
    </xf>
    <xf numFmtId="0" fontId="6" fillId="3" borderId="15" xfId="0" applyFont="1" applyFill="1" applyBorder="1" applyAlignment="1" applyProtection="1">
      <alignment horizontal="left" vertical="center"/>
      <protection hidden="1"/>
    </xf>
    <xf numFmtId="0" fontId="21" fillId="3" borderId="36" xfId="0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21" fillId="3" borderId="37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32" fillId="0" borderId="44" xfId="0" applyFont="1" applyBorder="1" applyAlignment="1" applyProtection="1">
      <alignment horizontal="right" vertical="top"/>
    </xf>
    <xf numFmtId="0" fontId="17" fillId="2" borderId="33" xfId="0" applyFont="1" applyFill="1" applyBorder="1" applyAlignment="1" applyProtection="1">
      <alignment horizontal="center" vertical="center" wrapText="1"/>
      <protection hidden="1"/>
    </xf>
    <xf numFmtId="0" fontId="17" fillId="2" borderId="45" xfId="0" applyFont="1" applyFill="1" applyBorder="1" applyAlignment="1" applyProtection="1">
      <alignment horizontal="center" vertical="center" wrapText="1"/>
      <protection hidden="1"/>
    </xf>
    <xf numFmtId="166" fontId="16" fillId="2" borderId="33" xfId="1" applyNumberFormat="1" applyFont="1" applyFill="1" applyBorder="1" applyAlignment="1" applyProtection="1">
      <alignment horizontal="center" vertical="center"/>
      <protection hidden="1"/>
    </xf>
    <xf numFmtId="166" fontId="16" fillId="2" borderId="45" xfId="1" applyNumberFormat="1" applyFont="1" applyFill="1" applyBorder="1" applyAlignment="1" applyProtection="1">
      <alignment horizontal="center" vertical="center"/>
      <protection hidden="1"/>
    </xf>
    <xf numFmtId="164" fontId="17" fillId="2" borderId="33" xfId="1" applyFont="1" applyFill="1" applyBorder="1" applyAlignment="1" applyProtection="1">
      <alignment horizontal="center" vertical="center"/>
      <protection hidden="1"/>
    </xf>
    <xf numFmtId="164" fontId="17" fillId="2" borderId="45" xfId="1" applyFont="1" applyFill="1" applyBorder="1" applyAlignment="1" applyProtection="1">
      <alignment horizontal="center" vertical="center"/>
      <protection hidden="1"/>
    </xf>
    <xf numFmtId="164" fontId="17" fillId="2" borderId="46" xfId="1" applyFont="1" applyFill="1" applyBorder="1" applyAlignment="1" applyProtection="1">
      <alignment horizontal="center" vertical="center"/>
      <protection hidden="1"/>
    </xf>
    <xf numFmtId="0" fontId="31" fillId="0" borderId="9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wrapText="1"/>
    </xf>
    <xf numFmtId="0" fontId="13" fillId="0" borderId="6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17" fillId="2" borderId="46" xfId="0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 wrapText="1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0" xfId="0" applyNumberFormat="1" applyFont="1" applyBorder="1" applyAlignment="1" applyProtection="1">
      <alignment horizontal="left" vertical="center" wrapText="1"/>
    </xf>
    <xf numFmtId="0" fontId="17" fillId="0" borderId="8" xfId="0" applyNumberFormat="1" applyFont="1" applyBorder="1" applyAlignment="1" applyProtection="1">
      <alignment horizontal="left" vertical="center" wrapText="1"/>
    </xf>
    <xf numFmtId="49" fontId="27" fillId="2" borderId="33" xfId="0" applyNumberFormat="1" applyFont="1" applyFill="1" applyBorder="1" applyAlignment="1" applyProtection="1">
      <alignment horizontal="center" vertical="center"/>
      <protection hidden="1"/>
    </xf>
    <xf numFmtId="0" fontId="27" fillId="2" borderId="46" xfId="0" applyFont="1" applyFill="1" applyBorder="1" applyAlignment="1" applyProtection="1">
      <alignment horizontal="center" vertical="center"/>
      <protection hidden="1"/>
    </xf>
    <xf numFmtId="0" fontId="27" fillId="2" borderId="45" xfId="0" applyFont="1" applyFill="1" applyBorder="1" applyAlignment="1" applyProtection="1">
      <alignment horizontal="center" vertical="center"/>
      <protection hidden="1"/>
    </xf>
    <xf numFmtId="49" fontId="28" fillId="2" borderId="33" xfId="0" applyNumberFormat="1" applyFont="1" applyFill="1" applyBorder="1" applyAlignment="1" applyProtection="1">
      <alignment horizontal="center" vertical="center"/>
      <protection hidden="1"/>
    </xf>
    <xf numFmtId="0" fontId="28" fillId="2" borderId="46" xfId="0" applyFont="1" applyFill="1" applyBorder="1" applyAlignment="1" applyProtection="1">
      <alignment horizontal="center" vertical="center"/>
      <protection hidden="1"/>
    </xf>
    <xf numFmtId="0" fontId="28" fillId="2" borderId="45" xfId="0" applyFont="1" applyFill="1" applyBorder="1" applyAlignment="1" applyProtection="1">
      <alignment horizontal="center" vertical="center"/>
      <protection hidden="1"/>
    </xf>
    <xf numFmtId="49" fontId="17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46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left" vertical="center" wrapText="1"/>
    </xf>
    <xf numFmtId="0" fontId="28" fillId="0" borderId="0" xfId="0" applyNumberFormat="1" applyFont="1" applyBorder="1" applyAlignment="1" applyProtection="1">
      <alignment horizontal="left" vertical="center"/>
    </xf>
    <xf numFmtId="0" fontId="17" fillId="4" borderId="33" xfId="0" applyFont="1" applyFill="1" applyBorder="1" applyAlignment="1" applyProtection="1">
      <alignment horizontal="center" vertical="center"/>
      <protection locked="0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164" fontId="16" fillId="2" borderId="33" xfId="0" applyNumberFormat="1" applyFont="1" applyFill="1" applyBorder="1" applyAlignment="1" applyProtection="1">
      <alignment horizontal="center" vertical="center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29" fillId="2" borderId="33" xfId="0" applyFont="1" applyFill="1" applyBorder="1" applyAlignment="1" applyProtection="1">
      <alignment horizontal="center" vertical="center"/>
      <protection hidden="1"/>
    </xf>
    <xf numFmtId="0" fontId="29" fillId="2" borderId="46" xfId="0" applyFont="1" applyFill="1" applyBorder="1" applyAlignment="1" applyProtection="1">
      <alignment horizontal="center" vertical="center"/>
      <protection hidden="1"/>
    </xf>
    <xf numFmtId="0" fontId="29" fillId="2" borderId="45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31" fillId="0" borderId="3" xfId="0" applyFont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'Libri i kontr. dhe tatimeve'!$E$3" max="10" min="1" page="10" val="7"/>
</file>

<file path=xl/ctrlProps/ctrlProp2.xml><?xml version="1.0" encoding="utf-8"?>
<formControlPr xmlns="http://schemas.microsoft.com/office/spreadsheetml/2009/9/main" objectType="Drop" dropLines="5" dropStyle="combo" dx="16" fmlaLink="$N$1" fmlaRange="$N$2:$N$6" noThreeD="1" sel="5" val="0"/>
</file>

<file path=xl/ctrlProps/ctrlProp3.xml><?xml version="1.0" encoding="utf-8"?>
<formControlPr xmlns="http://schemas.microsoft.com/office/spreadsheetml/2009/9/main" objectType="Spin" dx="16" fmlaLink="$E$3" max="10" min="1" page="10" val="7"/>
</file>

<file path=xl/ctrlProps/ctrlProp4.xml><?xml version="1.0" encoding="utf-8"?>
<formControlPr xmlns="http://schemas.microsoft.com/office/spreadsheetml/2009/9/main" objectType="Spin" dx="15" fmlaLink="$L$16" max="10" min="1" page="10" val="7"/>
</file>

<file path=xl/ctrlProps/ctrlProp5.xml><?xml version="1.0" encoding="utf-8"?>
<formControlPr xmlns="http://schemas.microsoft.com/office/spreadsheetml/2009/9/main" objectType="Drop" dropStyle="combo" dx="16" fmlaLink="$N$3" fmlaRange="$N$17:$N$18" noThreeD="1" val="0"/>
</file>

<file path=xl/ctrlProps/ctrlProp6.xml><?xml version="1.0" encoding="utf-8"?>
<formControlPr xmlns="http://schemas.microsoft.com/office/spreadsheetml/2009/9/main" objectType="Drop" dropStyle="combo" dx="16" noThreeD="1" sel="0" val="0"/>
</file>

<file path=xl/ctrlProps/ctrlProp7.xml><?xml version="1.0" encoding="utf-8"?>
<formControlPr xmlns="http://schemas.microsoft.com/office/spreadsheetml/2009/9/main" objectType="Spin" dx="16" max="30000" page="10" val="4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Gusht!E11"/><Relationship Id="rId13" Type="http://schemas.openxmlformats.org/officeDocument/2006/relationships/hyperlink" Target="#Shenime!C11"/><Relationship Id="rId18" Type="http://schemas.openxmlformats.org/officeDocument/2006/relationships/hyperlink" Target="#Ndihme!A5"/><Relationship Id="rId3" Type="http://schemas.openxmlformats.org/officeDocument/2006/relationships/hyperlink" Target="#Mars!E11"/><Relationship Id="rId21" Type="http://schemas.openxmlformats.org/officeDocument/2006/relationships/hyperlink" Target="#Banka!F11"/><Relationship Id="rId7" Type="http://schemas.openxmlformats.org/officeDocument/2006/relationships/hyperlink" Target="#Korrik!E11"/><Relationship Id="rId12" Type="http://schemas.openxmlformats.org/officeDocument/2006/relationships/hyperlink" Target="#Dhjetor!E11"/><Relationship Id="rId17" Type="http://schemas.openxmlformats.org/officeDocument/2006/relationships/hyperlink" Target="#'Libri i kontr. dhe tatimeve'!D3"/><Relationship Id="rId2" Type="http://schemas.openxmlformats.org/officeDocument/2006/relationships/hyperlink" Target="#Shkurt!E11"/><Relationship Id="rId16" Type="http://schemas.openxmlformats.org/officeDocument/2006/relationships/hyperlink" Target="#'Liste-Pagesa vjetore'!E11"/><Relationship Id="rId20" Type="http://schemas.openxmlformats.org/officeDocument/2006/relationships/hyperlink" Target="#Fletepagesa!D6"/><Relationship Id="rId1" Type="http://schemas.openxmlformats.org/officeDocument/2006/relationships/hyperlink" Target="#Janar!E11"/><Relationship Id="rId6" Type="http://schemas.openxmlformats.org/officeDocument/2006/relationships/hyperlink" Target="#Qershor!E11"/><Relationship Id="rId11" Type="http://schemas.openxmlformats.org/officeDocument/2006/relationships/hyperlink" Target="#Nentor!E11"/><Relationship Id="rId5" Type="http://schemas.openxmlformats.org/officeDocument/2006/relationships/hyperlink" Target="#Maj!E11"/><Relationship Id="rId15" Type="http://schemas.openxmlformats.org/officeDocument/2006/relationships/hyperlink" Target="#'Taksat dhe klasifikimi i pagave'!G11"/><Relationship Id="rId10" Type="http://schemas.openxmlformats.org/officeDocument/2006/relationships/hyperlink" Target="#Tetor!E11"/><Relationship Id="rId19" Type="http://schemas.openxmlformats.org/officeDocument/2006/relationships/hyperlink" Target="#Certificate!B2"/><Relationship Id="rId4" Type="http://schemas.openxmlformats.org/officeDocument/2006/relationships/hyperlink" Target="#Prill!E11"/><Relationship Id="rId9" Type="http://schemas.openxmlformats.org/officeDocument/2006/relationships/hyperlink" Target="#Shtator!E11"/><Relationship Id="rId14" Type="http://schemas.openxmlformats.org/officeDocument/2006/relationships/hyperlink" Target="#'Raporti tremujor i kontributeve'!F11"/><Relationship Id="rId22" Type="http://schemas.openxmlformats.org/officeDocument/2006/relationships/hyperlink" Target="#Shtese!D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ermbajtja!E1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ermbajtja!E1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ermbajtja!E1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5</xdr:row>
      <xdr:rowOff>66675</xdr:rowOff>
    </xdr:from>
    <xdr:to>
      <xdr:col>2</xdr:col>
      <xdr:colOff>209550</xdr:colOff>
      <xdr:row>6</xdr:row>
      <xdr:rowOff>104775</xdr:rowOff>
    </xdr:to>
    <xdr:sp macro="" textlink="">
      <xdr:nvSpPr>
        <xdr:cNvPr id="1026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90600" y="10953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1. Janar</a:t>
          </a:r>
        </a:p>
      </xdr:txBody>
    </xdr:sp>
    <xdr:clientData/>
  </xdr:twoCellAnchor>
  <xdr:twoCellAnchor editAs="absolute">
    <xdr:from>
      <xdr:col>1</xdr:col>
      <xdr:colOff>142875</xdr:colOff>
      <xdr:row>7</xdr:row>
      <xdr:rowOff>47625</xdr:rowOff>
    </xdr:from>
    <xdr:to>
      <xdr:col>2</xdr:col>
      <xdr:colOff>209550</xdr:colOff>
      <xdr:row>8</xdr:row>
      <xdr:rowOff>85725</xdr:rowOff>
    </xdr:to>
    <xdr:sp macro="" textlink="">
      <xdr:nvSpPr>
        <xdr:cNvPr id="1040" name="Text Box 1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990600" y="14001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2. Shkurt</a:t>
          </a:r>
        </a:p>
      </xdr:txBody>
    </xdr:sp>
    <xdr:clientData/>
  </xdr:twoCellAnchor>
  <xdr:twoCellAnchor editAs="absolute">
    <xdr:from>
      <xdr:col>1</xdr:col>
      <xdr:colOff>142875</xdr:colOff>
      <xdr:row>9</xdr:row>
      <xdr:rowOff>28575</xdr:rowOff>
    </xdr:from>
    <xdr:to>
      <xdr:col>2</xdr:col>
      <xdr:colOff>209550</xdr:colOff>
      <xdr:row>10</xdr:row>
      <xdr:rowOff>66675</xdr:rowOff>
    </xdr:to>
    <xdr:sp macro="" textlink="">
      <xdr:nvSpPr>
        <xdr:cNvPr id="1041" name="Text Box 17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990600" y="17049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3. Mars</a:t>
          </a:r>
        </a:p>
      </xdr:txBody>
    </xdr:sp>
    <xdr:clientData/>
  </xdr:twoCellAnchor>
  <xdr:twoCellAnchor editAs="absolute">
    <xdr:from>
      <xdr:col>2</xdr:col>
      <xdr:colOff>419100</xdr:colOff>
      <xdr:row>5</xdr:row>
      <xdr:rowOff>66675</xdr:rowOff>
    </xdr:from>
    <xdr:to>
      <xdr:col>3</xdr:col>
      <xdr:colOff>485775</xdr:colOff>
      <xdr:row>6</xdr:row>
      <xdr:rowOff>104775</xdr:rowOff>
    </xdr:to>
    <xdr:sp macro="" textlink="">
      <xdr:nvSpPr>
        <xdr:cNvPr id="1042" name="Text Box 18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2114550" y="10953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4. Prill</a:t>
          </a:r>
        </a:p>
      </xdr:txBody>
    </xdr:sp>
    <xdr:clientData/>
  </xdr:twoCellAnchor>
  <xdr:twoCellAnchor editAs="absolute">
    <xdr:from>
      <xdr:col>2</xdr:col>
      <xdr:colOff>419100</xdr:colOff>
      <xdr:row>7</xdr:row>
      <xdr:rowOff>47625</xdr:rowOff>
    </xdr:from>
    <xdr:to>
      <xdr:col>3</xdr:col>
      <xdr:colOff>485775</xdr:colOff>
      <xdr:row>8</xdr:row>
      <xdr:rowOff>85725</xdr:rowOff>
    </xdr:to>
    <xdr:sp macro="" textlink="">
      <xdr:nvSpPr>
        <xdr:cNvPr id="1043" name="Text Box 19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2114550" y="14001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5. Maj</a:t>
          </a:r>
        </a:p>
      </xdr:txBody>
    </xdr:sp>
    <xdr:clientData/>
  </xdr:twoCellAnchor>
  <xdr:twoCellAnchor editAs="absolute">
    <xdr:from>
      <xdr:col>2</xdr:col>
      <xdr:colOff>419100</xdr:colOff>
      <xdr:row>9</xdr:row>
      <xdr:rowOff>28575</xdr:rowOff>
    </xdr:from>
    <xdr:to>
      <xdr:col>3</xdr:col>
      <xdr:colOff>485775</xdr:colOff>
      <xdr:row>10</xdr:row>
      <xdr:rowOff>66675</xdr:rowOff>
    </xdr:to>
    <xdr:sp macro="" textlink="">
      <xdr:nvSpPr>
        <xdr:cNvPr id="1044" name="Text Box 20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2114550" y="17049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6. Qershor</a:t>
          </a:r>
        </a:p>
      </xdr:txBody>
    </xdr:sp>
    <xdr:clientData/>
  </xdr:twoCellAnchor>
  <xdr:twoCellAnchor editAs="absolute">
    <xdr:from>
      <xdr:col>3</xdr:col>
      <xdr:colOff>704850</xdr:colOff>
      <xdr:row>5</xdr:row>
      <xdr:rowOff>66675</xdr:rowOff>
    </xdr:from>
    <xdr:to>
      <xdr:col>4</xdr:col>
      <xdr:colOff>771525</xdr:colOff>
      <xdr:row>6</xdr:row>
      <xdr:rowOff>104775</xdr:rowOff>
    </xdr:to>
    <xdr:sp macro="" textlink="">
      <xdr:nvSpPr>
        <xdr:cNvPr id="1045" name="Text Box 21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3248025" y="10953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7. Korrik</a:t>
          </a:r>
        </a:p>
      </xdr:txBody>
    </xdr:sp>
    <xdr:clientData/>
  </xdr:twoCellAnchor>
  <xdr:twoCellAnchor editAs="absolute">
    <xdr:from>
      <xdr:col>3</xdr:col>
      <xdr:colOff>704850</xdr:colOff>
      <xdr:row>7</xdr:row>
      <xdr:rowOff>47625</xdr:rowOff>
    </xdr:from>
    <xdr:to>
      <xdr:col>4</xdr:col>
      <xdr:colOff>771525</xdr:colOff>
      <xdr:row>8</xdr:row>
      <xdr:rowOff>85725</xdr:rowOff>
    </xdr:to>
    <xdr:sp macro="" textlink="">
      <xdr:nvSpPr>
        <xdr:cNvPr id="1046" name="Text Box 22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3248025" y="14001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8. Gusht</a:t>
          </a:r>
        </a:p>
      </xdr:txBody>
    </xdr:sp>
    <xdr:clientData/>
  </xdr:twoCellAnchor>
  <xdr:twoCellAnchor editAs="absolute">
    <xdr:from>
      <xdr:col>3</xdr:col>
      <xdr:colOff>704850</xdr:colOff>
      <xdr:row>9</xdr:row>
      <xdr:rowOff>28575</xdr:rowOff>
    </xdr:from>
    <xdr:to>
      <xdr:col>4</xdr:col>
      <xdr:colOff>771525</xdr:colOff>
      <xdr:row>10</xdr:row>
      <xdr:rowOff>66675</xdr:rowOff>
    </xdr:to>
    <xdr:sp macro="" textlink="">
      <xdr:nvSpPr>
        <xdr:cNvPr id="1047" name="Text Box 23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3248025" y="17049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9. Shtator</a:t>
          </a:r>
        </a:p>
      </xdr:txBody>
    </xdr:sp>
    <xdr:clientData/>
  </xdr:twoCellAnchor>
  <xdr:twoCellAnchor editAs="absolute">
    <xdr:from>
      <xdr:col>5</xdr:col>
      <xdr:colOff>142875</xdr:colOff>
      <xdr:row>5</xdr:row>
      <xdr:rowOff>66675</xdr:rowOff>
    </xdr:from>
    <xdr:to>
      <xdr:col>6</xdr:col>
      <xdr:colOff>209550</xdr:colOff>
      <xdr:row>6</xdr:row>
      <xdr:rowOff>104775</xdr:rowOff>
    </xdr:to>
    <xdr:sp macro="" textlink="">
      <xdr:nvSpPr>
        <xdr:cNvPr id="1048" name="Text Box 24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4381500" y="10953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10. Tetor</a:t>
          </a:r>
        </a:p>
      </xdr:txBody>
    </xdr:sp>
    <xdr:clientData/>
  </xdr:twoCellAnchor>
  <xdr:twoCellAnchor editAs="absolute">
    <xdr:from>
      <xdr:col>5</xdr:col>
      <xdr:colOff>142875</xdr:colOff>
      <xdr:row>7</xdr:row>
      <xdr:rowOff>47625</xdr:rowOff>
    </xdr:from>
    <xdr:to>
      <xdr:col>6</xdr:col>
      <xdr:colOff>209550</xdr:colOff>
      <xdr:row>8</xdr:row>
      <xdr:rowOff>85725</xdr:rowOff>
    </xdr:to>
    <xdr:sp macro="" textlink="">
      <xdr:nvSpPr>
        <xdr:cNvPr id="1049" name="Text Box 25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4381500" y="14001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11. Nëntor</a:t>
          </a:r>
        </a:p>
      </xdr:txBody>
    </xdr:sp>
    <xdr:clientData/>
  </xdr:twoCellAnchor>
  <xdr:twoCellAnchor editAs="absolute">
    <xdr:from>
      <xdr:col>5</xdr:col>
      <xdr:colOff>142875</xdr:colOff>
      <xdr:row>9</xdr:row>
      <xdr:rowOff>28575</xdr:rowOff>
    </xdr:from>
    <xdr:to>
      <xdr:col>6</xdr:col>
      <xdr:colOff>209550</xdr:colOff>
      <xdr:row>10</xdr:row>
      <xdr:rowOff>66675</xdr:rowOff>
    </xdr:to>
    <xdr:sp macro="" textlink="">
      <xdr:nvSpPr>
        <xdr:cNvPr id="1050" name="Text Box 2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4381500" y="1704975"/>
          <a:ext cx="914400" cy="2000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12. Dhjetor</a:t>
          </a:r>
        </a:p>
      </xdr:txBody>
    </xdr:sp>
    <xdr:clientData/>
  </xdr:twoCellAnchor>
  <xdr:twoCellAnchor editAs="absolute">
    <xdr:from>
      <xdr:col>1</xdr:col>
      <xdr:colOff>142875</xdr:colOff>
      <xdr:row>1</xdr:row>
      <xdr:rowOff>38100</xdr:rowOff>
    </xdr:from>
    <xdr:to>
      <xdr:col>6</xdr:col>
      <xdr:colOff>209550</xdr:colOff>
      <xdr:row>3</xdr:row>
      <xdr:rowOff>66675</xdr:rowOff>
    </xdr:to>
    <xdr:sp macro="" textlink="">
      <xdr:nvSpPr>
        <xdr:cNvPr id="1053" name="Text Box 29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990600" y="323850"/>
          <a:ext cx="4305300" cy="3524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Shënime mbi ndërmarrjen dhe punëtorët</a:t>
          </a:r>
        </a:p>
      </xdr:txBody>
    </xdr:sp>
    <xdr:clientData/>
  </xdr:twoCellAnchor>
  <xdr:twoCellAnchor editAs="absolute">
    <xdr:from>
      <xdr:col>1</xdr:col>
      <xdr:colOff>133350</xdr:colOff>
      <xdr:row>14</xdr:row>
      <xdr:rowOff>85725</xdr:rowOff>
    </xdr:from>
    <xdr:to>
      <xdr:col>3</xdr:col>
      <xdr:colOff>304800</xdr:colOff>
      <xdr:row>17</xdr:row>
      <xdr:rowOff>28575</xdr:rowOff>
    </xdr:to>
    <xdr:sp macro="" textlink="">
      <xdr:nvSpPr>
        <xdr:cNvPr id="1054" name="Text Box 30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981075" y="2571750"/>
          <a:ext cx="1866900" cy="4286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80"/>
              </a:solidFill>
              <a:latin typeface="Arial"/>
              <a:cs typeface="Arial"/>
            </a:rPr>
            <a:t>Raporti tremujor i kontributeve</a:t>
          </a:r>
        </a:p>
      </xdr:txBody>
    </xdr:sp>
    <xdr:clientData/>
  </xdr:twoCellAnchor>
  <xdr:twoCellAnchor editAs="absolute">
    <xdr:from>
      <xdr:col>1</xdr:col>
      <xdr:colOff>123825</xdr:colOff>
      <xdr:row>18</xdr:row>
      <xdr:rowOff>9525</xdr:rowOff>
    </xdr:from>
    <xdr:to>
      <xdr:col>3</xdr:col>
      <xdr:colOff>295275</xdr:colOff>
      <xdr:row>21</xdr:row>
      <xdr:rowOff>95250</xdr:rowOff>
    </xdr:to>
    <xdr:sp macro="" textlink="">
      <xdr:nvSpPr>
        <xdr:cNvPr id="1055" name="Text Box 31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971550" y="3143250"/>
          <a:ext cx="1866900" cy="571500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80"/>
              </a:solidFill>
              <a:latin typeface="Arial"/>
              <a:cs typeface="Arial"/>
            </a:rPr>
            <a:t>Të dhëna statistikore mbi tatimin dhe shpërndarjen e rrogave për çdo muaj</a:t>
          </a:r>
        </a:p>
      </xdr:txBody>
    </xdr:sp>
    <xdr:clientData/>
  </xdr:twoCellAnchor>
  <xdr:twoCellAnchor editAs="absolute">
    <xdr:from>
      <xdr:col>4</xdr:col>
      <xdr:colOff>28575</xdr:colOff>
      <xdr:row>14</xdr:row>
      <xdr:rowOff>85725</xdr:rowOff>
    </xdr:from>
    <xdr:to>
      <xdr:col>6</xdr:col>
      <xdr:colOff>200025</xdr:colOff>
      <xdr:row>17</xdr:row>
      <xdr:rowOff>28575</xdr:rowOff>
    </xdr:to>
    <xdr:sp macro="" textlink="">
      <xdr:nvSpPr>
        <xdr:cNvPr id="1056" name="Text Box 32">
          <a:hlinkClick xmlns:r="http://schemas.openxmlformats.org/officeDocument/2006/relationships" r:id="rId16"/>
        </xdr:cNvPr>
        <xdr:cNvSpPr txBox="1">
          <a:spLocks noChangeArrowheads="1"/>
        </xdr:cNvSpPr>
      </xdr:nvSpPr>
      <xdr:spPr bwMode="auto">
        <a:xfrm>
          <a:off x="3419475" y="2571750"/>
          <a:ext cx="1866900" cy="42862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80"/>
              </a:solidFill>
              <a:latin typeface="Arial"/>
              <a:cs typeface="Arial"/>
            </a:rPr>
            <a:t>Listë-Pagesa vjetore</a:t>
          </a:r>
        </a:p>
      </xdr:txBody>
    </xdr:sp>
    <xdr:clientData/>
  </xdr:twoCellAnchor>
  <xdr:twoCellAnchor editAs="absolute">
    <xdr:from>
      <xdr:col>4</xdr:col>
      <xdr:colOff>19050</xdr:colOff>
      <xdr:row>18</xdr:row>
      <xdr:rowOff>19050</xdr:rowOff>
    </xdr:from>
    <xdr:to>
      <xdr:col>6</xdr:col>
      <xdr:colOff>190500</xdr:colOff>
      <xdr:row>21</xdr:row>
      <xdr:rowOff>95250</xdr:rowOff>
    </xdr:to>
    <xdr:sp macro="" textlink="">
      <xdr:nvSpPr>
        <xdr:cNvPr id="1057" name="Text Box 33">
          <a:hlinkClick xmlns:r="http://schemas.openxmlformats.org/officeDocument/2006/relationships" r:id="rId17"/>
        </xdr:cNvPr>
        <xdr:cNvSpPr txBox="1">
          <a:spLocks noChangeArrowheads="1"/>
        </xdr:cNvSpPr>
      </xdr:nvSpPr>
      <xdr:spPr bwMode="auto">
        <a:xfrm>
          <a:off x="3409950" y="3152775"/>
          <a:ext cx="1866900" cy="56197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80"/>
              </a:solidFill>
              <a:latin typeface="Arial"/>
              <a:cs typeface="Arial"/>
            </a:rPr>
            <a:t>Libri i kontributeve dhe tatimeve</a:t>
          </a:r>
        </a:p>
      </xdr:txBody>
    </xdr:sp>
    <xdr:clientData/>
  </xdr:twoCellAnchor>
  <xdr:twoCellAnchor editAs="absolute">
    <xdr:from>
      <xdr:col>2</xdr:col>
      <xdr:colOff>114300</xdr:colOff>
      <xdr:row>25</xdr:row>
      <xdr:rowOff>0</xdr:rowOff>
    </xdr:from>
    <xdr:to>
      <xdr:col>5</xdr:col>
      <xdr:colOff>171450</xdr:colOff>
      <xdr:row>27</xdr:row>
      <xdr:rowOff>47625</xdr:rowOff>
    </xdr:to>
    <xdr:sp macro="" textlink="">
      <xdr:nvSpPr>
        <xdr:cNvPr id="1059" name="Text Box 35">
          <a:hlinkClick xmlns:r="http://schemas.openxmlformats.org/officeDocument/2006/relationships" r:id="rId18"/>
        </xdr:cNvPr>
        <xdr:cNvSpPr txBox="1">
          <a:spLocks noChangeArrowheads="1"/>
        </xdr:cNvSpPr>
      </xdr:nvSpPr>
      <xdr:spPr bwMode="auto">
        <a:xfrm>
          <a:off x="1809750" y="4267200"/>
          <a:ext cx="2600325" cy="371475"/>
        </a:xfrm>
        <a:prstGeom prst="rect">
          <a:avLst/>
        </a:prstGeom>
        <a:solidFill>
          <a:srgbClr val="FFFFCC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1" i="0" u="sng" strike="noStrike">
              <a:solidFill>
                <a:srgbClr val="0000FF"/>
              </a:solidFill>
              <a:latin typeface="Arial"/>
              <a:cs typeface="Arial"/>
            </a:rPr>
            <a:t>Ndihmë </a:t>
          </a:r>
        </a:p>
      </xdr:txBody>
    </xdr:sp>
    <xdr:clientData/>
  </xdr:twoCellAnchor>
  <xdr:twoCellAnchor editAs="absolute">
    <xdr:from>
      <xdr:col>2</xdr:col>
      <xdr:colOff>361950</xdr:colOff>
      <xdr:row>22</xdr:row>
      <xdr:rowOff>38100</xdr:rowOff>
    </xdr:from>
    <xdr:to>
      <xdr:col>4</xdr:col>
      <xdr:colOff>695325</xdr:colOff>
      <xdr:row>24</xdr:row>
      <xdr:rowOff>9525</xdr:rowOff>
    </xdr:to>
    <xdr:sp macro="" textlink="">
      <xdr:nvSpPr>
        <xdr:cNvPr id="1062" name="Text Box 38">
          <a:hlinkClick xmlns:r="http://schemas.openxmlformats.org/officeDocument/2006/relationships" r:id="rId19"/>
        </xdr:cNvPr>
        <xdr:cNvSpPr txBox="1">
          <a:spLocks noChangeArrowheads="1"/>
        </xdr:cNvSpPr>
      </xdr:nvSpPr>
      <xdr:spPr bwMode="auto">
        <a:xfrm>
          <a:off x="2057400" y="3819525"/>
          <a:ext cx="2028825" cy="295275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Çertificata</a:t>
          </a:r>
        </a:p>
      </xdr:txBody>
    </xdr:sp>
    <xdr:clientData/>
  </xdr:twoCellAnchor>
  <xdr:twoCellAnchor editAs="absolute">
    <xdr:from>
      <xdr:col>1</xdr:col>
      <xdr:colOff>142875</xdr:colOff>
      <xdr:row>11</xdr:row>
      <xdr:rowOff>123825</xdr:rowOff>
    </xdr:from>
    <xdr:to>
      <xdr:col>3</xdr:col>
      <xdr:colOff>304800</xdr:colOff>
      <xdr:row>13</xdr:row>
      <xdr:rowOff>104775</xdr:rowOff>
    </xdr:to>
    <xdr:sp macro="" textlink="">
      <xdr:nvSpPr>
        <xdr:cNvPr id="1063" name="Text Box 39">
          <a:hlinkClick xmlns:r="http://schemas.openxmlformats.org/officeDocument/2006/relationships" r:id="rId20"/>
        </xdr:cNvPr>
        <xdr:cNvSpPr txBox="1">
          <a:spLocks noChangeArrowheads="1"/>
        </xdr:cNvSpPr>
      </xdr:nvSpPr>
      <xdr:spPr bwMode="auto">
        <a:xfrm>
          <a:off x="990600" y="2124075"/>
          <a:ext cx="1857375" cy="304800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Fletëpagesa</a:t>
          </a:r>
        </a:p>
      </xdr:txBody>
    </xdr:sp>
    <xdr:clientData/>
  </xdr:twoCellAnchor>
  <xdr:twoCellAnchor editAs="absolute">
    <xdr:from>
      <xdr:col>4</xdr:col>
      <xdr:colOff>38100</xdr:colOff>
      <xdr:row>11</xdr:row>
      <xdr:rowOff>123825</xdr:rowOff>
    </xdr:from>
    <xdr:to>
      <xdr:col>6</xdr:col>
      <xdr:colOff>200025</xdr:colOff>
      <xdr:row>13</xdr:row>
      <xdr:rowOff>104775</xdr:rowOff>
    </xdr:to>
    <xdr:sp macro="" textlink="">
      <xdr:nvSpPr>
        <xdr:cNvPr id="1064" name="Text Box 40">
          <a:hlinkClick xmlns:r="http://schemas.openxmlformats.org/officeDocument/2006/relationships" r:id="rId21"/>
        </xdr:cNvPr>
        <xdr:cNvSpPr txBox="1">
          <a:spLocks noChangeArrowheads="1"/>
        </xdr:cNvSpPr>
      </xdr:nvSpPr>
      <xdr:spPr bwMode="auto">
        <a:xfrm>
          <a:off x="3429000" y="2124075"/>
          <a:ext cx="1857375" cy="304800"/>
        </a:xfrm>
        <a:prstGeom prst="rect">
          <a:avLst/>
        </a:prstGeom>
        <a:gradFill rotWithShape="1">
          <a:gsLst>
            <a:gs pos="0">
              <a:srgbClr val="CCFFCC">
                <a:gamma/>
                <a:shade val="60784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Pagesa përmes bankës</a:t>
          </a:r>
        </a:p>
      </xdr:txBody>
    </xdr:sp>
    <xdr:clientData/>
  </xdr:twoCellAnchor>
  <xdr:twoCellAnchor editAs="absolute">
    <xdr:from>
      <xdr:col>1</xdr:col>
      <xdr:colOff>628650</xdr:colOff>
      <xdr:row>28</xdr:row>
      <xdr:rowOff>0</xdr:rowOff>
    </xdr:from>
    <xdr:to>
      <xdr:col>5</xdr:col>
      <xdr:colOff>628650</xdr:colOff>
      <xdr:row>30</xdr:row>
      <xdr:rowOff>47625</xdr:rowOff>
    </xdr:to>
    <xdr:sp macro="" textlink="">
      <xdr:nvSpPr>
        <xdr:cNvPr id="1065" name="Text Box 41">
          <a:hlinkClick xmlns:r="http://schemas.openxmlformats.org/officeDocument/2006/relationships" r:id="rId22"/>
        </xdr:cNvPr>
        <xdr:cNvSpPr txBox="1">
          <a:spLocks noChangeArrowheads="1"/>
        </xdr:cNvSpPr>
      </xdr:nvSpPr>
      <xdr:spPr bwMode="auto">
        <a:xfrm>
          <a:off x="1476375" y="4752975"/>
          <a:ext cx="3390900" cy="37147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99CC">
                <a:gamma/>
                <a:tint val="0"/>
                <a:invGamma/>
              </a:srgbClr>
            </a:gs>
            <a:gs pos="100000">
              <a:srgbClr val="FF99CC"/>
            </a:gs>
          </a:gsLst>
          <a:lin ang="5400000" scaled="1"/>
        </a:gradFill>
        <a:ln w="317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50292" rIns="45720" bIns="50292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 Black"/>
            </a:rPr>
            <a:t>Kalkulatori: Neto - Bruto</a:t>
          </a:r>
        </a:p>
      </xdr:txBody>
    </xdr:sp>
    <xdr:clientData/>
  </xdr:twoCellAnchor>
  <xdr:twoCellAnchor>
    <xdr:from>
      <xdr:col>0</xdr:col>
      <xdr:colOff>142875</xdr:colOff>
      <xdr:row>24</xdr:row>
      <xdr:rowOff>85725</xdr:rowOff>
    </xdr:from>
    <xdr:to>
      <xdr:col>7</xdr:col>
      <xdr:colOff>561975</xdr:colOff>
      <xdr:row>24</xdr:row>
      <xdr:rowOff>85725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142875" y="4191000"/>
          <a:ext cx="589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514350</xdr:colOff>
      <xdr:row>0</xdr:row>
      <xdr:rowOff>38100</xdr:rowOff>
    </xdr:from>
    <xdr:to>
      <xdr:col>1</xdr:col>
      <xdr:colOff>1543050</xdr:colOff>
      <xdr:row>0</xdr:row>
      <xdr:rowOff>266700</xdr:rowOff>
    </xdr:to>
    <xdr:sp macro="" textlink="">
      <xdr:nvSpPr>
        <xdr:cNvPr id="20500" name="Text Box 2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828675" y="38100"/>
          <a:ext cx="1028700" cy="2286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sng" strike="noStrike">
              <a:solidFill>
                <a:srgbClr val="0000FF"/>
              </a:solidFill>
              <a:latin typeface="Arial"/>
              <a:cs typeface="Arial"/>
            </a:rPr>
            <a:t>Kthehu prapa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85725</xdr:rowOff>
        </xdr:from>
        <xdr:to>
          <xdr:col>2</xdr:col>
          <xdr:colOff>238125</xdr:colOff>
          <xdr:row>7</xdr:row>
          <xdr:rowOff>0</xdr:rowOff>
        </xdr:to>
        <xdr:sp macro="" textlink="">
          <xdr:nvSpPr>
            <xdr:cNvPr id="20481" name="Spinner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180975</xdr:colOff>
      <xdr:row>0</xdr:row>
      <xdr:rowOff>0</xdr:rowOff>
    </xdr:from>
    <xdr:to>
      <xdr:col>5</xdr:col>
      <xdr:colOff>1209675</xdr:colOff>
      <xdr:row>0</xdr:row>
      <xdr:rowOff>180975</xdr:rowOff>
    </xdr:to>
    <xdr:sp macro="" textlink="">
      <xdr:nvSpPr>
        <xdr:cNvPr id="21514" name="Text Box 1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00075" y="0"/>
          <a:ext cx="1028700" cy="1809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sng" strike="noStrike">
              <a:solidFill>
                <a:srgbClr val="0000FF"/>
              </a:solidFill>
              <a:latin typeface="Arial"/>
              <a:cs typeface="Arial"/>
            </a:rPr>
            <a:t>Kthehu prapa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</xdr:row>
          <xdr:rowOff>142875</xdr:rowOff>
        </xdr:from>
        <xdr:to>
          <xdr:col>6</xdr:col>
          <xdr:colOff>857250</xdr:colOff>
          <xdr:row>7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0</xdr:row>
      <xdr:rowOff>0</xdr:rowOff>
    </xdr:from>
    <xdr:to>
      <xdr:col>3</xdr:col>
      <xdr:colOff>266700</xdr:colOff>
      <xdr:row>1</xdr:row>
      <xdr:rowOff>28575</xdr:rowOff>
    </xdr:to>
    <xdr:sp macro="" textlink="">
      <xdr:nvSpPr>
        <xdr:cNvPr id="512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66700" y="0"/>
          <a:ext cx="102870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sng" strike="noStrike">
              <a:solidFill>
                <a:srgbClr val="0000FF"/>
              </a:solidFill>
              <a:latin typeface="Arial"/>
              <a:cs typeface="Arial"/>
            </a:rPr>
            <a:t>Kthehu prapa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1</xdr:row>
          <xdr:rowOff>285750</xdr:rowOff>
        </xdr:from>
        <xdr:to>
          <xdr:col>3</xdr:col>
          <xdr:colOff>742950</xdr:colOff>
          <xdr:row>3</xdr:row>
          <xdr:rowOff>19050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15</xdr:row>
          <xdr:rowOff>28575</xdr:rowOff>
        </xdr:from>
        <xdr:to>
          <xdr:col>13</xdr:col>
          <xdr:colOff>323850</xdr:colOff>
          <xdr:row>15</xdr:row>
          <xdr:rowOff>447675</xdr:rowOff>
        </xdr:to>
        <xdr:sp macro="" textlink="">
          <xdr:nvSpPr>
            <xdr:cNvPr id="19457" name="Spinner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3554" name="Rectangle 2"/>
        <xdr:cNvSpPr>
          <a:spLocks noChangeArrowheads="1"/>
        </xdr:cNvSpPr>
      </xdr:nvSpPr>
      <xdr:spPr bwMode="auto">
        <a:xfrm>
          <a:off x="609600" y="1257300"/>
          <a:ext cx="847725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19050</xdr:rowOff>
        </xdr:from>
        <xdr:to>
          <xdr:col>2</xdr:col>
          <xdr:colOff>28575</xdr:colOff>
          <xdr:row>3</xdr:row>
          <xdr:rowOff>228600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26</xdr:row>
          <xdr:rowOff>114300</xdr:rowOff>
        </xdr:from>
        <xdr:to>
          <xdr:col>0</xdr:col>
          <xdr:colOff>2371725</xdr:colOff>
          <xdr:row>27</xdr:row>
          <xdr:rowOff>38100</xdr:rowOff>
        </xdr:to>
        <xdr:sp macro="" textlink="">
          <xdr:nvSpPr>
            <xdr:cNvPr id="22538" name="Drop Down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847725</xdr:colOff>
          <xdr:row>29</xdr:row>
          <xdr:rowOff>104775</xdr:rowOff>
        </xdr:from>
        <xdr:to>
          <xdr:col>0</xdr:col>
          <xdr:colOff>1190625</xdr:colOff>
          <xdr:row>31</xdr:row>
          <xdr:rowOff>152400</xdr:rowOff>
        </xdr:to>
        <xdr:sp macro="" textlink="">
          <xdr:nvSpPr>
            <xdr:cNvPr id="22539" name="Spinner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5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ctrlProp" Target="../ctrlProps/ctrlProp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8"/>
  <sheetViews>
    <sheetView showGridLines="0" workbookViewId="0">
      <pane xSplit="8" ySplit="31" topLeftCell="I33" activePane="bottomRight" state="frozen"/>
      <selection pane="topRight" activeCell="I1" sqref="I1"/>
      <selection pane="bottomLeft" activeCell="A32" sqref="A32"/>
      <selection pane="bottomRight"/>
    </sheetView>
  </sheetViews>
  <sheetFormatPr defaultRowHeight="12.75" x14ac:dyDescent="0.2"/>
  <cols>
    <col min="1" max="6" width="12.7109375" style="28" customWidth="1"/>
    <col min="7" max="7" width="5.85546875" style="28" customWidth="1"/>
    <col min="8" max="15" width="12.7109375" style="28" customWidth="1"/>
    <col min="16" max="16384" width="9.140625" style="28"/>
  </cols>
  <sheetData>
    <row r="1" spans="1:10" ht="22.5" x14ac:dyDescent="0.45">
      <c r="B1" s="104"/>
    </row>
    <row r="2" spans="1:10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20.25" customHeight="1" x14ac:dyDescent="0.2">
      <c r="A5" s="29"/>
      <c r="B5" s="30" t="s">
        <v>97</v>
      </c>
      <c r="C5" s="31"/>
      <c r="D5" s="31"/>
      <c r="E5" s="31"/>
      <c r="F5" s="31"/>
      <c r="G5" s="31"/>
      <c r="H5" s="29"/>
      <c r="I5" s="29"/>
      <c r="J5" s="29"/>
    </row>
    <row r="6" spans="1:10" x14ac:dyDescent="0.2">
      <c r="A6" s="29"/>
      <c r="B6" s="32"/>
      <c r="C6" s="33"/>
      <c r="D6" s="33"/>
      <c r="E6" s="33"/>
      <c r="F6" s="33"/>
      <c r="G6" s="34"/>
      <c r="H6" s="29"/>
      <c r="I6" s="29"/>
      <c r="J6" s="29"/>
    </row>
    <row r="7" spans="1:10" x14ac:dyDescent="0.2">
      <c r="A7" s="29"/>
      <c r="B7" s="35"/>
      <c r="C7" s="36"/>
      <c r="D7" s="36"/>
      <c r="E7" s="36"/>
      <c r="F7" s="36"/>
      <c r="G7" s="37"/>
      <c r="H7" s="29"/>
      <c r="I7" s="29"/>
      <c r="J7" s="29"/>
    </row>
    <row r="8" spans="1:10" x14ac:dyDescent="0.2">
      <c r="A8" s="29"/>
      <c r="B8" s="35"/>
      <c r="C8" s="36"/>
      <c r="D8" s="36"/>
      <c r="E8" s="36"/>
      <c r="F8" s="36"/>
      <c r="G8" s="37"/>
      <c r="H8" s="29"/>
      <c r="I8" s="29"/>
      <c r="J8" s="29"/>
    </row>
    <row r="9" spans="1:10" x14ac:dyDescent="0.2">
      <c r="A9" s="29"/>
      <c r="B9" s="35"/>
      <c r="C9" s="36"/>
      <c r="D9" s="36"/>
      <c r="E9" s="36"/>
      <c r="F9" s="36"/>
      <c r="G9" s="37"/>
      <c r="H9" s="29"/>
      <c r="I9" s="29"/>
      <c r="J9" s="29"/>
    </row>
    <row r="10" spans="1:10" x14ac:dyDescent="0.2">
      <c r="A10" s="29"/>
      <c r="B10" s="35"/>
      <c r="C10" s="36"/>
      <c r="D10" s="36"/>
      <c r="E10" s="36"/>
      <c r="F10" s="36"/>
      <c r="G10" s="37"/>
      <c r="H10" s="29"/>
      <c r="I10" s="29"/>
      <c r="J10" s="29"/>
    </row>
    <row r="11" spans="1:10" x14ac:dyDescent="0.2">
      <c r="A11" s="29"/>
      <c r="B11" s="38"/>
      <c r="C11" s="39"/>
      <c r="D11" s="39"/>
      <c r="E11" s="39"/>
      <c r="F11" s="39"/>
      <c r="G11" s="40"/>
      <c r="H11" s="29"/>
      <c r="I11" s="29"/>
      <c r="J11" s="29"/>
    </row>
    <row r="12" spans="1:10" ht="12.7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.7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2.7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.7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2.75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.7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2.7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</row>
  </sheetData>
  <sheetProtection selectLockedCells="1"/>
  <customSheetViews>
    <customSheetView guid="{09AFD497-C868-4385-9AB3-7F1632F55388}" showGridLines="0" showRuler="0">
      <pane xSplit="10" ySplit="26" topLeftCell="K27" activePane="bottomRight" state="frozen"/>
      <selection pane="bottomRight"/>
      <pageMargins left="0.75" right="0.75" top="1" bottom="1" header="0.5" footer="0.5"/>
      <pageSetup paperSize="9" orientation="landscape" verticalDpi="0" r:id="rId1"/>
      <headerFooter alignWithMargins="0"/>
    </customSheetView>
    <customSheetView guid="{CE29130D-F54B-4517-B637-01D908CB90D3}" showGridLines="0" showRuler="0">
      <pane xSplit="8" ySplit="31" topLeftCell="I32" activePane="bottomRight" state="frozen"/>
      <selection pane="bottomRight" activeCell="F20" sqref="F20"/>
      <pageMargins left="0.75" right="0.75" top="1" bottom="1" header="0.5" footer="0.5"/>
      <pageSetup paperSize="9" orientation="landscape" verticalDpi="0" r:id="rId2"/>
      <headerFooter alignWithMargins="0"/>
    </customSheetView>
  </customSheetViews>
  <phoneticPr fontId="0" type="noConversion"/>
  <pageMargins left="0.75" right="0.75" top="1" bottom="1" header="0.5" footer="0.5"/>
  <pageSetup paperSize="9" orientation="landscape" verticalDpi="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26"/>
  <sheetViews>
    <sheetView showGridLines="0" showZeros="0" workbookViewId="0">
      <pane xSplit="5" ySplit="10" topLeftCell="F15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"Gusht"&amp;" "&amp;Shenime!H7</f>
        <v>Gusht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Korrik!F11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Korrik!F12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Korrik!F13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Korrik!F14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Korrik!F15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Korrik!F16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Korrik!F17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Korrik!F18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Korrik!F19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Korrik!F20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printArea="1" showAutoFilter="1" hiddenRows="1" hiddenColumns="1" showRuler="0">
      <pane xSplit="4" ySplit="10" topLeftCell="E11" activePane="bottomRight" state="frozen"/>
      <selection pane="bottomRight" activeCell="D11" sqref="D1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H24:I24"/>
    <mergeCell ref="J24:K24"/>
    <mergeCell ref="C8:D8"/>
    <mergeCell ref="F22:K22"/>
    <mergeCell ref="I2:K2"/>
    <mergeCell ref="C4:E4"/>
    <mergeCell ref="H6:K6"/>
    <mergeCell ref="C5:E6"/>
    <mergeCell ref="C2:E2"/>
    <mergeCell ref="C3:E3"/>
    <mergeCell ref="L22:L23"/>
    <mergeCell ref="H23:I23"/>
    <mergeCell ref="J23:K23"/>
    <mergeCell ref="I3:K3"/>
    <mergeCell ref="H8:I9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6"/>
  <sheetViews>
    <sheetView showGridLines="0" showZeros="0" workbookViewId="0">
      <pane xSplit="5" ySplit="10" topLeftCell="F15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"Shtator"&amp;" "&amp;Shenime!H7</f>
        <v>Shtator 2019</v>
      </c>
      <c r="D8" s="300"/>
      <c r="F8" s="132">
        <f>SUBTOTAL(9,F11:F20)</f>
        <v>1680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84</v>
      </c>
      <c r="K8" s="132">
        <f t="shared" si="0"/>
        <v>84</v>
      </c>
      <c r="L8" s="123">
        <f t="shared" si="0"/>
        <v>168</v>
      </c>
      <c r="M8" s="132">
        <f t="shared" si="0"/>
        <v>1596</v>
      </c>
      <c r="N8" s="132">
        <f t="shared" si="0"/>
        <v>640</v>
      </c>
      <c r="O8" s="132">
        <f t="shared" si="0"/>
        <v>794.5</v>
      </c>
      <c r="P8" s="132">
        <f t="shared" si="0"/>
        <v>0</v>
      </c>
      <c r="Q8" s="132">
        <f t="shared" si="0"/>
        <v>161.5</v>
      </c>
      <c r="R8" s="132">
        <f t="shared" si="0"/>
        <v>31.78</v>
      </c>
      <c r="S8" s="132">
        <f t="shared" si="0"/>
        <v>0</v>
      </c>
      <c r="T8" s="132">
        <f t="shared" si="0"/>
        <v>16.150000000000002</v>
      </c>
      <c r="U8" s="123">
        <f t="shared" si="0"/>
        <v>47.93</v>
      </c>
      <c r="V8" s="132">
        <f t="shared" si="0"/>
        <v>1548.0699999999997</v>
      </c>
      <c r="W8" s="123">
        <f t="shared" si="0"/>
        <v>0</v>
      </c>
      <c r="X8" s="132">
        <f t="shared" si="0"/>
        <v>1548.0699999999997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Gusht!F11</f>
        <v>0</v>
      </c>
      <c r="B11" s="114"/>
      <c r="C11" s="212">
        <v>1</v>
      </c>
      <c r="D11" s="213" t="str">
        <f>Shenime!C11</f>
        <v>Albulena Morina</v>
      </c>
      <c r="E11" s="214"/>
      <c r="F11" s="215">
        <v>220</v>
      </c>
      <c r="G11" s="216"/>
      <c r="H11" s="217">
        <v>0.05</v>
      </c>
      <c r="I11" s="217">
        <v>0.05</v>
      </c>
      <c r="J11" s="218">
        <f>F11*H11</f>
        <v>11</v>
      </c>
      <c r="K11" s="219">
        <f>F11*I11</f>
        <v>11</v>
      </c>
      <c r="L11" s="220">
        <f>J11+K11</f>
        <v>22</v>
      </c>
      <c r="M11" s="221">
        <f>F11-J11</f>
        <v>209</v>
      </c>
      <c r="N11" s="221">
        <f>IF(M11&lt;=80,M11,80)*IF(E11=2,0,1)</f>
        <v>80</v>
      </c>
      <c r="O11" s="221">
        <f>IF(N11=80,IF(M11-N11&lt;=170,M11-N11,170),0)*IF(E11=2,0,1)</f>
        <v>129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5.16</v>
      </c>
      <c r="S11" s="221">
        <f>P11*0.08</f>
        <v>0</v>
      </c>
      <c r="T11" s="221">
        <f>Q11*0.1</f>
        <v>0</v>
      </c>
      <c r="U11" s="220">
        <f>R11+S11+T11</f>
        <v>5.16</v>
      </c>
      <c r="V11" s="221">
        <f>M11-U11</f>
        <v>203.84</v>
      </c>
      <c r="W11" s="220">
        <f>G11</f>
        <v>0</v>
      </c>
      <c r="X11" s="221">
        <f>V11-W11</f>
        <v>203.84</v>
      </c>
    </row>
    <row r="12" spans="1:24" ht="21" customHeight="1" x14ac:dyDescent="0.2">
      <c r="A12" s="115">
        <f>Gusht!F12</f>
        <v>0</v>
      </c>
      <c r="B12" s="114"/>
      <c r="C12" s="212">
        <v>2</v>
      </c>
      <c r="D12" s="213">
        <f>Shenime!C12</f>
        <v>0</v>
      </c>
      <c r="E12" s="214"/>
      <c r="F12" s="215">
        <v>200</v>
      </c>
      <c r="G12" s="216"/>
      <c r="H12" s="217">
        <v>0.05</v>
      </c>
      <c r="I12" s="217">
        <v>0.05</v>
      </c>
      <c r="J12" s="218">
        <f t="shared" ref="J12:J20" si="1">F12*H12</f>
        <v>10</v>
      </c>
      <c r="K12" s="219">
        <f t="shared" ref="K12:K20" si="2">F12*I12</f>
        <v>10</v>
      </c>
      <c r="L12" s="220">
        <f t="shared" ref="L12:L20" si="3">J12+K12</f>
        <v>20</v>
      </c>
      <c r="M12" s="221">
        <f t="shared" ref="M12:M20" si="4">F12-J12</f>
        <v>190</v>
      </c>
      <c r="N12" s="221">
        <f t="shared" ref="N12:N20" si="5">IF(M12&lt;=80,M12,80)*IF(E12=2,0,1)</f>
        <v>80</v>
      </c>
      <c r="O12" s="221">
        <f t="shared" ref="O12:O20" si="6">IF(N12=80,IF(M12-N12&lt;=170,M12-N12,170),0)*IF(E12=2,0,1)</f>
        <v>110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4.4000000000000004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4.4000000000000004</v>
      </c>
      <c r="V12" s="221">
        <f t="shared" ref="V12:V20" si="13">M12-U12</f>
        <v>185.6</v>
      </c>
      <c r="W12" s="220">
        <f t="shared" ref="W12:W20" si="14">G12</f>
        <v>0</v>
      </c>
      <c r="X12" s="221">
        <f t="shared" ref="X12:X20" si="15">V12-W12</f>
        <v>185.6</v>
      </c>
    </row>
    <row r="13" spans="1:24" ht="21" customHeight="1" x14ac:dyDescent="0.2">
      <c r="A13" s="115">
        <f>Gusht!F13</f>
        <v>0</v>
      </c>
      <c r="C13" s="212">
        <v>3</v>
      </c>
      <c r="D13" s="213">
        <f>Shenime!C13</f>
        <v>0</v>
      </c>
      <c r="E13" s="214"/>
      <c r="F13" s="215">
        <v>190</v>
      </c>
      <c r="G13" s="216"/>
      <c r="H13" s="217">
        <v>0.05</v>
      </c>
      <c r="I13" s="217">
        <v>0.05</v>
      </c>
      <c r="J13" s="218">
        <f t="shared" si="1"/>
        <v>9.5</v>
      </c>
      <c r="K13" s="219">
        <f t="shared" si="2"/>
        <v>9.5</v>
      </c>
      <c r="L13" s="220">
        <f t="shared" si="3"/>
        <v>19</v>
      </c>
      <c r="M13" s="221">
        <f t="shared" si="4"/>
        <v>180.5</v>
      </c>
      <c r="N13" s="221">
        <f t="shared" si="5"/>
        <v>80</v>
      </c>
      <c r="O13" s="221">
        <f t="shared" si="6"/>
        <v>100.5</v>
      </c>
      <c r="P13" s="221">
        <f t="shared" si="7"/>
        <v>0</v>
      </c>
      <c r="Q13" s="221">
        <f t="shared" si="8"/>
        <v>0</v>
      </c>
      <c r="R13" s="221">
        <f t="shared" si="9"/>
        <v>4.0200000000000005</v>
      </c>
      <c r="S13" s="221">
        <f t="shared" si="10"/>
        <v>0</v>
      </c>
      <c r="T13" s="221">
        <f t="shared" si="11"/>
        <v>0</v>
      </c>
      <c r="U13" s="220">
        <f t="shared" si="12"/>
        <v>4.0200000000000005</v>
      </c>
      <c r="V13" s="221">
        <f t="shared" si="13"/>
        <v>176.48</v>
      </c>
      <c r="W13" s="220">
        <f t="shared" si="14"/>
        <v>0</v>
      </c>
      <c r="X13" s="221">
        <f t="shared" si="15"/>
        <v>176.48</v>
      </c>
    </row>
    <row r="14" spans="1:24" ht="21" customHeight="1" x14ac:dyDescent="0.2">
      <c r="A14" s="115">
        <f>Gusht!F14</f>
        <v>0</v>
      </c>
      <c r="C14" s="212">
        <v>4</v>
      </c>
      <c r="D14" s="213">
        <f>Shenime!C14</f>
        <v>0</v>
      </c>
      <c r="E14" s="214"/>
      <c r="F14" s="215">
        <v>150</v>
      </c>
      <c r="G14" s="216"/>
      <c r="H14" s="217">
        <v>0.05</v>
      </c>
      <c r="I14" s="217">
        <v>0.05</v>
      </c>
      <c r="J14" s="218">
        <f t="shared" si="1"/>
        <v>7.5</v>
      </c>
      <c r="K14" s="219">
        <f t="shared" si="2"/>
        <v>7.5</v>
      </c>
      <c r="L14" s="220">
        <f t="shared" si="3"/>
        <v>15</v>
      </c>
      <c r="M14" s="221">
        <f t="shared" si="4"/>
        <v>142.5</v>
      </c>
      <c r="N14" s="221">
        <f t="shared" si="5"/>
        <v>80</v>
      </c>
      <c r="O14" s="221">
        <f t="shared" si="6"/>
        <v>62.5</v>
      </c>
      <c r="P14" s="221">
        <f t="shared" si="7"/>
        <v>0</v>
      </c>
      <c r="Q14" s="221">
        <f t="shared" si="8"/>
        <v>0</v>
      </c>
      <c r="R14" s="221">
        <f t="shared" si="9"/>
        <v>2.5</v>
      </c>
      <c r="S14" s="221">
        <f t="shared" si="10"/>
        <v>0</v>
      </c>
      <c r="T14" s="221">
        <f t="shared" si="11"/>
        <v>0</v>
      </c>
      <c r="U14" s="220">
        <f t="shared" si="12"/>
        <v>2.5</v>
      </c>
      <c r="V14" s="221">
        <f t="shared" si="13"/>
        <v>140</v>
      </c>
      <c r="W14" s="220">
        <f t="shared" si="14"/>
        <v>0</v>
      </c>
      <c r="X14" s="221">
        <f t="shared" si="15"/>
        <v>140</v>
      </c>
    </row>
    <row r="15" spans="1:24" ht="21" customHeight="1" x14ac:dyDescent="0.2">
      <c r="A15" s="115">
        <f>Gusht!F15</f>
        <v>0</v>
      </c>
      <c r="C15" s="212">
        <v>5</v>
      </c>
      <c r="D15" s="213">
        <f>Shenime!C15</f>
        <v>0</v>
      </c>
      <c r="E15" s="214"/>
      <c r="F15" s="215">
        <v>250</v>
      </c>
      <c r="G15" s="216"/>
      <c r="H15" s="217">
        <v>0.05</v>
      </c>
      <c r="I15" s="217">
        <v>0.05</v>
      </c>
      <c r="J15" s="218">
        <f t="shared" si="1"/>
        <v>12.5</v>
      </c>
      <c r="K15" s="219">
        <f t="shared" si="2"/>
        <v>12.5</v>
      </c>
      <c r="L15" s="220">
        <f t="shared" si="3"/>
        <v>25</v>
      </c>
      <c r="M15" s="221">
        <f t="shared" si="4"/>
        <v>237.5</v>
      </c>
      <c r="N15" s="221">
        <f t="shared" si="5"/>
        <v>80</v>
      </c>
      <c r="O15" s="221">
        <f t="shared" si="6"/>
        <v>157.5</v>
      </c>
      <c r="P15" s="221">
        <f t="shared" si="7"/>
        <v>0</v>
      </c>
      <c r="Q15" s="221">
        <f t="shared" si="8"/>
        <v>0</v>
      </c>
      <c r="R15" s="221">
        <f t="shared" si="9"/>
        <v>6.3</v>
      </c>
      <c r="S15" s="221">
        <f t="shared" si="10"/>
        <v>0</v>
      </c>
      <c r="T15" s="221">
        <f t="shared" si="11"/>
        <v>0</v>
      </c>
      <c r="U15" s="220">
        <f t="shared" si="12"/>
        <v>6.3</v>
      </c>
      <c r="V15" s="221">
        <f t="shared" si="13"/>
        <v>231.2</v>
      </c>
      <c r="W15" s="220">
        <f t="shared" si="14"/>
        <v>0</v>
      </c>
      <c r="X15" s="221">
        <f t="shared" si="15"/>
        <v>231.2</v>
      </c>
    </row>
    <row r="16" spans="1:24" ht="21" customHeight="1" x14ac:dyDescent="0.2">
      <c r="A16" s="115">
        <f>Gusht!F16</f>
        <v>0</v>
      </c>
      <c r="C16" s="212">
        <v>6</v>
      </c>
      <c r="D16" s="213" t="s">
        <v>260</v>
      </c>
      <c r="E16" s="214">
        <v>2</v>
      </c>
      <c r="F16" s="215">
        <v>170</v>
      </c>
      <c r="G16" s="216"/>
      <c r="H16" s="217">
        <v>0.05</v>
      </c>
      <c r="I16" s="217">
        <v>0.05</v>
      </c>
      <c r="J16" s="218">
        <f t="shared" si="1"/>
        <v>8.5</v>
      </c>
      <c r="K16" s="219">
        <f t="shared" si="2"/>
        <v>8.5</v>
      </c>
      <c r="L16" s="220">
        <f t="shared" si="3"/>
        <v>17</v>
      </c>
      <c r="M16" s="221">
        <f t="shared" si="4"/>
        <v>161.5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161.5</v>
      </c>
      <c r="R16" s="221">
        <f t="shared" si="9"/>
        <v>0</v>
      </c>
      <c r="S16" s="221">
        <f t="shared" si="10"/>
        <v>0</v>
      </c>
      <c r="T16" s="221">
        <f t="shared" si="11"/>
        <v>16.150000000000002</v>
      </c>
      <c r="U16" s="220">
        <f t="shared" si="12"/>
        <v>16.150000000000002</v>
      </c>
      <c r="V16" s="221">
        <f t="shared" si="13"/>
        <v>145.35</v>
      </c>
      <c r="W16" s="220">
        <f t="shared" si="14"/>
        <v>0</v>
      </c>
      <c r="X16" s="221">
        <f t="shared" si="15"/>
        <v>145.35</v>
      </c>
    </row>
    <row r="17" spans="1:24" ht="21" customHeight="1" x14ac:dyDescent="0.2">
      <c r="A17" s="115">
        <f>Gusht!F17</f>
        <v>0</v>
      </c>
      <c r="C17" s="212">
        <v>7</v>
      </c>
      <c r="D17" s="213">
        <f>Shenime!C17</f>
        <v>0</v>
      </c>
      <c r="E17" s="214"/>
      <c r="F17" s="215">
        <v>200</v>
      </c>
      <c r="G17" s="216"/>
      <c r="H17" s="217">
        <v>0.05</v>
      </c>
      <c r="I17" s="217">
        <v>0.05</v>
      </c>
      <c r="J17" s="218">
        <f t="shared" si="1"/>
        <v>10</v>
      </c>
      <c r="K17" s="219">
        <f t="shared" si="2"/>
        <v>10</v>
      </c>
      <c r="L17" s="220">
        <f t="shared" si="3"/>
        <v>20</v>
      </c>
      <c r="M17" s="221">
        <f t="shared" si="4"/>
        <v>190</v>
      </c>
      <c r="N17" s="221">
        <f t="shared" si="5"/>
        <v>80</v>
      </c>
      <c r="O17" s="221">
        <f t="shared" si="6"/>
        <v>110</v>
      </c>
      <c r="P17" s="221">
        <f t="shared" si="7"/>
        <v>0</v>
      </c>
      <c r="Q17" s="221">
        <f t="shared" si="8"/>
        <v>0</v>
      </c>
      <c r="R17" s="221">
        <f t="shared" si="9"/>
        <v>4.4000000000000004</v>
      </c>
      <c r="S17" s="221">
        <f t="shared" si="10"/>
        <v>0</v>
      </c>
      <c r="T17" s="221">
        <f t="shared" si="11"/>
        <v>0</v>
      </c>
      <c r="U17" s="220">
        <f t="shared" si="12"/>
        <v>4.4000000000000004</v>
      </c>
      <c r="V17" s="221">
        <f t="shared" si="13"/>
        <v>185.6</v>
      </c>
      <c r="W17" s="220">
        <f t="shared" si="14"/>
        <v>0</v>
      </c>
      <c r="X17" s="221">
        <f t="shared" si="15"/>
        <v>185.6</v>
      </c>
    </row>
    <row r="18" spans="1:24" ht="21" customHeight="1" x14ac:dyDescent="0.2">
      <c r="A18" s="115">
        <f>Gusht!F18</f>
        <v>0</v>
      </c>
      <c r="C18" s="212">
        <v>8</v>
      </c>
      <c r="D18" s="213">
        <f>Shenime!C18</f>
        <v>0</v>
      </c>
      <c r="E18" s="214"/>
      <c r="F18" s="215">
        <v>100</v>
      </c>
      <c r="G18" s="216"/>
      <c r="H18" s="217">
        <v>0.05</v>
      </c>
      <c r="I18" s="217">
        <v>0.05</v>
      </c>
      <c r="J18" s="218">
        <f t="shared" si="1"/>
        <v>5</v>
      </c>
      <c r="K18" s="219">
        <f t="shared" si="2"/>
        <v>5</v>
      </c>
      <c r="L18" s="220">
        <f t="shared" si="3"/>
        <v>10</v>
      </c>
      <c r="M18" s="221">
        <f t="shared" si="4"/>
        <v>95</v>
      </c>
      <c r="N18" s="221">
        <f t="shared" si="5"/>
        <v>80</v>
      </c>
      <c r="O18" s="221">
        <f t="shared" si="6"/>
        <v>15</v>
      </c>
      <c r="P18" s="221">
        <f t="shared" si="7"/>
        <v>0</v>
      </c>
      <c r="Q18" s="221">
        <f t="shared" si="8"/>
        <v>0</v>
      </c>
      <c r="R18" s="221">
        <f t="shared" si="9"/>
        <v>0.6</v>
      </c>
      <c r="S18" s="221">
        <f t="shared" si="10"/>
        <v>0</v>
      </c>
      <c r="T18" s="221">
        <f t="shared" si="11"/>
        <v>0</v>
      </c>
      <c r="U18" s="220">
        <f t="shared" si="12"/>
        <v>0.6</v>
      </c>
      <c r="V18" s="221">
        <f t="shared" si="13"/>
        <v>94.4</v>
      </c>
      <c r="W18" s="220">
        <f t="shared" si="14"/>
        <v>0</v>
      </c>
      <c r="X18" s="221">
        <f t="shared" si="15"/>
        <v>94.4</v>
      </c>
    </row>
    <row r="19" spans="1:24" ht="21" customHeight="1" x14ac:dyDescent="0.2">
      <c r="A19" s="115">
        <f>Gusht!F19</f>
        <v>0</v>
      </c>
      <c r="C19" s="212">
        <v>9</v>
      </c>
      <c r="D19" s="213">
        <f>Shenime!C19</f>
        <v>0</v>
      </c>
      <c r="E19" s="214"/>
      <c r="F19" s="215">
        <v>200</v>
      </c>
      <c r="G19" s="216"/>
      <c r="H19" s="217">
        <v>0.05</v>
      </c>
      <c r="I19" s="217">
        <v>0.05</v>
      </c>
      <c r="J19" s="218">
        <f t="shared" si="1"/>
        <v>10</v>
      </c>
      <c r="K19" s="219">
        <f t="shared" si="2"/>
        <v>10</v>
      </c>
      <c r="L19" s="220">
        <f t="shared" si="3"/>
        <v>20</v>
      </c>
      <c r="M19" s="221">
        <f t="shared" si="4"/>
        <v>190</v>
      </c>
      <c r="N19" s="221">
        <f t="shared" si="5"/>
        <v>80</v>
      </c>
      <c r="O19" s="221">
        <f t="shared" si="6"/>
        <v>110</v>
      </c>
      <c r="P19" s="221">
        <f t="shared" si="7"/>
        <v>0</v>
      </c>
      <c r="Q19" s="221">
        <f t="shared" si="8"/>
        <v>0</v>
      </c>
      <c r="R19" s="221">
        <f t="shared" si="9"/>
        <v>4.4000000000000004</v>
      </c>
      <c r="S19" s="221">
        <f t="shared" si="10"/>
        <v>0</v>
      </c>
      <c r="T19" s="221">
        <f t="shared" si="11"/>
        <v>0</v>
      </c>
      <c r="U19" s="220">
        <f t="shared" si="12"/>
        <v>4.4000000000000004</v>
      </c>
      <c r="V19" s="221">
        <f t="shared" si="13"/>
        <v>185.6</v>
      </c>
      <c r="W19" s="220">
        <f t="shared" si="14"/>
        <v>0</v>
      </c>
      <c r="X19" s="221">
        <f t="shared" si="15"/>
        <v>185.6</v>
      </c>
    </row>
    <row r="20" spans="1:24" ht="21" customHeight="1" x14ac:dyDescent="0.2">
      <c r="A20" s="115">
        <f>Gusht!F20</f>
        <v>0</v>
      </c>
      <c r="C20" s="212">
        <v>10</v>
      </c>
      <c r="D20" s="213"/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9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9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I3:K3"/>
    <mergeCell ref="C8:D8"/>
    <mergeCell ref="F22:K22"/>
    <mergeCell ref="C5:E6"/>
    <mergeCell ref="I2:K2"/>
    <mergeCell ref="C4:E4"/>
    <mergeCell ref="H6:K6"/>
    <mergeCell ref="C2:E2"/>
    <mergeCell ref="C3:E3"/>
    <mergeCell ref="L22:L23"/>
    <mergeCell ref="H23:I23"/>
    <mergeCell ref="J23:K23"/>
    <mergeCell ref="H8:I9"/>
    <mergeCell ref="H24:I24"/>
    <mergeCell ref="J24:K24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6"/>
  <sheetViews>
    <sheetView showGridLines="0" showZeros="0" workbookViewId="0">
      <pane xSplit="5" ySplit="10" topLeftCell="F15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1680</v>
      </c>
      <c r="C8" s="299" t="str">
        <f>"Tetor"&amp;" "&amp;Shenime!H7</f>
        <v>Tetor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Shtator!F11</f>
        <v>220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Shtator!F12</f>
        <v>200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Shtator!F13</f>
        <v>190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Shtator!F14</f>
        <v>150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Shtator!F15</f>
        <v>250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Shtator!F16</f>
        <v>170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Shtator!F17</f>
        <v>200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Shtator!F18</f>
        <v>100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Shtator!F19</f>
        <v>200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Shtator!F20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H24:I24"/>
    <mergeCell ref="J24:K24"/>
    <mergeCell ref="C8:D8"/>
    <mergeCell ref="F22:K22"/>
    <mergeCell ref="I2:K2"/>
    <mergeCell ref="C4:E4"/>
    <mergeCell ref="H6:K6"/>
    <mergeCell ref="C5:E6"/>
    <mergeCell ref="C2:E2"/>
    <mergeCell ref="C3:E3"/>
    <mergeCell ref="L22:L23"/>
    <mergeCell ref="H23:I23"/>
    <mergeCell ref="J23:K23"/>
    <mergeCell ref="I3:K3"/>
    <mergeCell ref="H8:I9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26"/>
  <sheetViews>
    <sheetView showGridLines="0" showZeros="0" workbookViewId="0">
      <pane xSplit="5" ySplit="10" topLeftCell="F15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"Nëntor"&amp;" "&amp;Shenime!H7</f>
        <v>Nëntor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Tetor!F11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Tetor!F12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Tetor!F13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Tetor!F14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Tetor!F15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Tetor!F16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Tetor!F17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Tetor!F18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Tetor!F19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Tetor!F20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D11" sqref="D1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H24:I24"/>
    <mergeCell ref="J24:K24"/>
    <mergeCell ref="C8:D8"/>
    <mergeCell ref="F22:K22"/>
    <mergeCell ref="I2:K2"/>
    <mergeCell ref="C4:E4"/>
    <mergeCell ref="H6:K6"/>
    <mergeCell ref="C5:E6"/>
    <mergeCell ref="C2:E2"/>
    <mergeCell ref="C3:E3"/>
    <mergeCell ref="L22:L23"/>
    <mergeCell ref="H23:I23"/>
    <mergeCell ref="J23:K23"/>
    <mergeCell ref="I3:K3"/>
    <mergeCell ref="H8:I9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26"/>
  <sheetViews>
    <sheetView showGridLines="0" showZeros="0" workbookViewId="0">
      <pane xSplit="5" ySplit="10" topLeftCell="F15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"Dhjetor"&amp;" "&amp;Shenime!H7</f>
        <v>Dhjetor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Nentor!F11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Nentor!F12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Nentor!F13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Nentor!F14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Nentor!F15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Nentor!F16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Nentor!F17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Nentor!F18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Nentor!F19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Nentor!F20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D11" sqref="D1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I3:K3"/>
    <mergeCell ref="C8:D8"/>
    <mergeCell ref="F22:K22"/>
    <mergeCell ref="C5:E6"/>
    <mergeCell ref="I2:K2"/>
    <mergeCell ref="C4:E4"/>
    <mergeCell ref="H6:K6"/>
    <mergeCell ref="C2:E2"/>
    <mergeCell ref="C3:E3"/>
    <mergeCell ref="L22:L23"/>
    <mergeCell ref="H23:I23"/>
    <mergeCell ref="J23:K23"/>
    <mergeCell ref="H8:I9"/>
    <mergeCell ref="H24:I24"/>
    <mergeCell ref="J24:K24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2"/>
  <sheetViews>
    <sheetView showGridLines="0" tabSelected="1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D6" sqref="D6:E6"/>
    </sheetView>
  </sheetViews>
  <sheetFormatPr defaultRowHeight="12" x14ac:dyDescent="0.2"/>
  <cols>
    <col min="1" max="1" width="4.7109375" style="106" customWidth="1"/>
    <col min="2" max="2" width="30.7109375" style="106" customWidth="1"/>
    <col min="3" max="3" width="5.7109375" style="106" customWidth="1"/>
    <col min="4" max="4" width="12.7109375" style="106" customWidth="1"/>
    <col min="5" max="5" width="5.7109375" style="106" customWidth="1"/>
    <col min="6" max="6" width="6.7109375" style="106" customWidth="1"/>
    <col min="7" max="7" width="5.7109375" style="106" customWidth="1"/>
    <col min="8" max="8" width="12.7109375" style="106" customWidth="1"/>
    <col min="9" max="9" width="4.7109375" style="106" customWidth="1"/>
    <col min="10" max="10" width="9.140625" style="106"/>
    <col min="11" max="11" width="3.7109375" style="106" hidden="1" customWidth="1"/>
    <col min="12" max="16384" width="9.140625" style="106"/>
  </cols>
  <sheetData>
    <row r="1" spans="1:11" ht="24" customHeight="1" x14ac:dyDescent="0.2">
      <c r="B1" s="105"/>
      <c r="K1" s="106" t="s">
        <v>145</v>
      </c>
    </row>
    <row r="2" spans="1:11" ht="18" customHeight="1" x14ac:dyDescent="0.2">
      <c r="A2" s="13"/>
      <c r="B2" s="316" t="s">
        <v>162</v>
      </c>
      <c r="C2" s="13"/>
      <c r="D2" s="317" t="str">
        <f>Shenime!D3</f>
        <v>ASTRONIK</v>
      </c>
      <c r="E2" s="318"/>
      <c r="F2" s="318"/>
      <c r="G2" s="318"/>
      <c r="H2" s="319"/>
      <c r="I2" s="13"/>
      <c r="K2" s="106" t="s">
        <v>146</v>
      </c>
    </row>
    <row r="3" spans="1:11" ht="15" customHeight="1" x14ac:dyDescent="0.2">
      <c r="A3" s="13"/>
      <c r="B3" s="316"/>
      <c r="C3" s="13"/>
      <c r="D3" s="320" t="str">
        <f>Shenime!D6</f>
        <v>MALISHEVË</v>
      </c>
      <c r="E3" s="321"/>
      <c r="F3" s="321"/>
      <c r="G3" s="321"/>
      <c r="H3" s="322"/>
      <c r="I3" s="13"/>
      <c r="K3" s="106" t="s">
        <v>147</v>
      </c>
    </row>
    <row r="4" spans="1:11" ht="21" customHeight="1" x14ac:dyDescent="0.2">
      <c r="A4" s="13"/>
      <c r="B4" s="117"/>
      <c r="C4" s="13"/>
      <c r="D4" s="13"/>
      <c r="E4" s="13"/>
      <c r="F4" s="13"/>
      <c r="G4" s="13"/>
      <c r="H4" s="13"/>
      <c r="I4" s="13"/>
      <c r="K4" s="106" t="s">
        <v>148</v>
      </c>
    </row>
    <row r="5" spans="1:11" ht="10.5" customHeight="1" x14ac:dyDescent="0.2">
      <c r="A5" s="13"/>
      <c r="B5" s="118" t="s">
        <v>4</v>
      </c>
      <c r="C5" s="13"/>
      <c r="D5" s="118" t="s">
        <v>30</v>
      </c>
      <c r="E5" s="13"/>
      <c r="F5" s="13"/>
      <c r="G5" s="118" t="s">
        <v>62</v>
      </c>
      <c r="H5" s="13"/>
      <c r="I5" s="13"/>
      <c r="K5" s="106" t="s">
        <v>143</v>
      </c>
    </row>
    <row r="6" spans="1:11" ht="21" customHeight="1" x14ac:dyDescent="0.2">
      <c r="A6" s="119">
        <f>'Libri i kontr. dhe tatimeve'!E3</f>
        <v>7</v>
      </c>
      <c r="B6" s="120" t="str">
        <f>IF(VLOOKUP(A6,Personale,2,TRUE)=0,"",VLOOKUP(A6,Personale,2,TRUE))</f>
        <v/>
      </c>
      <c r="C6" s="13"/>
      <c r="D6" s="323" t="s">
        <v>148</v>
      </c>
      <c r="E6" s="324"/>
      <c r="F6" s="13"/>
      <c r="G6" s="325">
        <f>Shenime!H7</f>
        <v>2019</v>
      </c>
      <c r="H6" s="326"/>
      <c r="I6" s="13"/>
      <c r="K6" s="106" t="s">
        <v>144</v>
      </c>
    </row>
    <row r="7" spans="1:11" ht="4.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K7" s="106" t="s">
        <v>149</v>
      </c>
    </row>
    <row r="8" spans="1:11" ht="10.5" customHeight="1" x14ac:dyDescent="0.2">
      <c r="A8" s="13"/>
      <c r="B8" s="118" t="s">
        <v>266</v>
      </c>
      <c r="C8" s="13"/>
      <c r="D8" s="118" t="s">
        <v>160</v>
      </c>
      <c r="E8" s="13"/>
      <c r="F8" s="118" t="s">
        <v>94</v>
      </c>
      <c r="G8" s="13"/>
      <c r="H8" s="13"/>
      <c r="I8" s="13"/>
      <c r="K8" s="106" t="s">
        <v>150</v>
      </c>
    </row>
    <row r="9" spans="1:11" ht="21" customHeight="1" x14ac:dyDescent="0.2">
      <c r="A9" s="13"/>
      <c r="B9" s="121" t="str">
        <f>IF(VLOOKUP(A6,Personale,3,TRUE)=0,"",VLOOKUP(A6,Personale,3,TRUE))</f>
        <v/>
      </c>
      <c r="C9" s="13"/>
      <c r="D9" s="314" t="str">
        <f>IF(VLOOKUP(A6,Personale,6,TRUE)=0,"",VLOOKUP(A6,Personale,6,TRUE))</f>
        <v/>
      </c>
      <c r="E9" s="13"/>
      <c r="F9" s="327" t="str">
        <f>IF(VLOOKUP(A6,Personale,7,TRUE)=0,"",VLOOKUP(A6,Personale,7,TRUE))</f>
        <v/>
      </c>
      <c r="G9" s="328"/>
      <c r="H9" s="329"/>
      <c r="I9" s="13"/>
      <c r="K9" s="106" t="s">
        <v>151</v>
      </c>
    </row>
    <row r="10" spans="1:11" ht="9" customHeight="1" x14ac:dyDescent="0.2">
      <c r="A10" s="13"/>
      <c r="B10" s="13"/>
      <c r="C10" s="13"/>
      <c r="D10" s="315"/>
      <c r="E10" s="13"/>
      <c r="F10" s="13"/>
      <c r="G10" s="13"/>
      <c r="H10" s="13"/>
      <c r="I10" s="13"/>
      <c r="K10" s="106" t="s">
        <v>152</v>
      </c>
    </row>
    <row r="11" spans="1:11" ht="6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K11" s="106" t="s">
        <v>153</v>
      </c>
    </row>
    <row r="12" spans="1:11" ht="6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K12" s="106" t="s">
        <v>161</v>
      </c>
    </row>
    <row r="13" spans="1:11" ht="18" customHeight="1" x14ac:dyDescent="0.2">
      <c r="A13" s="13"/>
      <c r="B13" s="13"/>
      <c r="C13" s="100" t="s">
        <v>177</v>
      </c>
      <c r="D13" s="123">
        <v>100</v>
      </c>
      <c r="E13" s="124" t="s">
        <v>170</v>
      </c>
      <c r="F13" s="13"/>
      <c r="G13" s="125"/>
      <c r="H13" s="13"/>
      <c r="I13" s="13"/>
    </row>
    <row r="14" spans="1:11" ht="4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11" ht="15" customHeight="1" x14ac:dyDescent="0.2">
      <c r="A15" s="13"/>
      <c r="B15" s="126" t="s">
        <v>154</v>
      </c>
      <c r="C15" s="127"/>
      <c r="D15" s="128"/>
      <c r="E15" s="13"/>
      <c r="F15" s="13"/>
      <c r="G15" s="13"/>
      <c r="H15" s="13"/>
      <c r="I15" s="13"/>
    </row>
    <row r="16" spans="1:11" ht="3.75" customHeight="1" x14ac:dyDescent="0.2">
      <c r="A16" s="13"/>
      <c r="B16" s="129"/>
      <c r="C16" s="130"/>
      <c r="D16" s="13"/>
      <c r="E16" s="13"/>
      <c r="F16" s="13"/>
      <c r="G16" s="13"/>
      <c r="H16" s="13"/>
      <c r="I16" s="13"/>
    </row>
    <row r="17" spans="1:9" ht="18" customHeight="1" x14ac:dyDescent="0.2">
      <c r="A17" s="13"/>
      <c r="B17" s="129" t="s">
        <v>158</v>
      </c>
      <c r="C17" s="131">
        <f>IF(D13=0,0,D17/D13)</f>
        <v>0.05</v>
      </c>
      <c r="D17" s="132">
        <v>5</v>
      </c>
      <c r="E17" s="124" t="s">
        <v>169</v>
      </c>
      <c r="F17" s="13"/>
      <c r="G17" s="125"/>
      <c r="H17" s="13"/>
      <c r="I17" s="13"/>
    </row>
    <row r="18" spans="1:9" ht="3.75" customHeight="1" x14ac:dyDescent="0.2">
      <c r="A18" s="13"/>
      <c r="B18" s="129"/>
      <c r="C18" s="133"/>
      <c r="D18" s="129"/>
      <c r="E18" s="129"/>
      <c r="F18" s="129"/>
      <c r="G18" s="129"/>
      <c r="H18" s="13"/>
      <c r="I18" s="13"/>
    </row>
    <row r="19" spans="1:9" ht="18" customHeight="1" x14ac:dyDescent="0.2">
      <c r="A19" s="13"/>
      <c r="B19" s="129" t="s">
        <v>159</v>
      </c>
      <c r="C19" s="131">
        <f>IF(D13=0,0,D19/D13)</f>
        <v>0.05</v>
      </c>
      <c r="D19" s="132">
        <v>5</v>
      </c>
      <c r="E19" s="124" t="s">
        <v>168</v>
      </c>
      <c r="F19" s="13"/>
      <c r="G19" s="125"/>
      <c r="H19" s="13"/>
      <c r="I19" s="13"/>
    </row>
    <row r="20" spans="1:9" ht="3.75" customHeight="1" x14ac:dyDescent="0.2">
      <c r="A20" s="13"/>
      <c r="B20" s="129"/>
      <c r="C20" s="133"/>
      <c r="D20" s="129"/>
      <c r="E20" s="129"/>
      <c r="F20" s="129"/>
      <c r="G20" s="129"/>
      <c r="H20" s="13"/>
      <c r="I20" s="13"/>
    </row>
    <row r="21" spans="1:9" ht="18" customHeight="1" x14ac:dyDescent="0.2">
      <c r="A21" s="13"/>
      <c r="B21" s="13"/>
      <c r="C21" s="100" t="s">
        <v>178</v>
      </c>
      <c r="D21" s="123">
        <f>D17+D19</f>
        <v>10</v>
      </c>
      <c r="E21" s="124" t="s">
        <v>171</v>
      </c>
      <c r="F21" s="13"/>
      <c r="G21" s="13"/>
      <c r="H21" s="13"/>
      <c r="I21" s="13"/>
    </row>
    <row r="22" spans="1:9" ht="18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8" customHeight="1" x14ac:dyDescent="0.2">
      <c r="A23" s="13"/>
      <c r="B23" s="13"/>
      <c r="C23" s="134" t="s">
        <v>173</v>
      </c>
      <c r="D23" s="135">
        <f>D13-D17</f>
        <v>95</v>
      </c>
      <c r="E23" s="124" t="s">
        <v>167</v>
      </c>
      <c r="F23" s="136"/>
      <c r="G23" s="137"/>
      <c r="H23" s="138" t="s">
        <v>157</v>
      </c>
      <c r="I23" s="13"/>
    </row>
    <row r="24" spans="1:9" ht="3.75" customHeight="1" x14ac:dyDescent="0.2">
      <c r="A24" s="13"/>
      <c r="B24" s="139"/>
      <c r="C24" s="139"/>
      <c r="D24" s="139"/>
      <c r="E24" s="139"/>
      <c r="F24" s="139"/>
      <c r="G24" s="128"/>
      <c r="H24" s="139"/>
      <c r="I24" s="13"/>
    </row>
    <row r="25" spans="1:9" ht="3.75" customHeight="1" x14ac:dyDescent="0.2">
      <c r="A25" s="13"/>
      <c r="B25" s="134"/>
      <c r="C25" s="134"/>
      <c r="D25" s="134"/>
      <c r="E25" s="134"/>
      <c r="F25" s="134"/>
      <c r="G25" s="137"/>
      <c r="H25" s="134"/>
      <c r="I25" s="13"/>
    </row>
    <row r="26" spans="1:9" ht="18" customHeight="1" x14ac:dyDescent="0.2">
      <c r="A26" s="13"/>
      <c r="B26" s="140" t="s">
        <v>46</v>
      </c>
      <c r="C26" s="137"/>
      <c r="D26" s="141">
        <f>IF(VLOOKUP(D6,Pagesa,2,FALSE)=2,0,IF(D23&gt;80,80,D23))</f>
        <v>80</v>
      </c>
      <c r="E26" s="142" t="s">
        <v>155</v>
      </c>
      <c r="F26" s="143">
        <v>0</v>
      </c>
      <c r="G26" s="144" t="s">
        <v>156</v>
      </c>
      <c r="H26" s="141">
        <f>D26*F26</f>
        <v>0</v>
      </c>
      <c r="I26" s="13"/>
    </row>
    <row r="27" spans="1:9" ht="3.75" customHeight="1" x14ac:dyDescent="0.2">
      <c r="A27" s="13"/>
      <c r="B27" s="145"/>
      <c r="C27" s="128"/>
      <c r="D27" s="146"/>
      <c r="E27" s="147"/>
      <c r="F27" s="148"/>
      <c r="G27" s="149"/>
      <c r="H27" s="146"/>
      <c r="I27" s="13"/>
    </row>
    <row r="28" spans="1:9" ht="3.75" customHeight="1" x14ac:dyDescent="0.2">
      <c r="A28" s="13"/>
      <c r="B28" s="140"/>
      <c r="C28" s="137"/>
      <c r="D28" s="150"/>
      <c r="E28" s="142"/>
      <c r="F28" s="151"/>
      <c r="G28" s="152"/>
      <c r="H28" s="150"/>
      <c r="I28" s="13"/>
    </row>
    <row r="29" spans="1:9" ht="18" customHeight="1" x14ac:dyDescent="0.2">
      <c r="A29" s="13"/>
      <c r="B29" s="140" t="s">
        <v>47</v>
      </c>
      <c r="C29" s="137"/>
      <c r="D29" s="141">
        <v>0</v>
      </c>
      <c r="E29" s="142" t="s">
        <v>155</v>
      </c>
      <c r="F29" s="153">
        <v>0.04</v>
      </c>
      <c r="G29" s="144" t="s">
        <v>156</v>
      </c>
      <c r="H29" s="141">
        <f>D29*F29</f>
        <v>0</v>
      </c>
      <c r="I29" s="13"/>
    </row>
    <row r="30" spans="1:9" ht="3.75" customHeight="1" x14ac:dyDescent="0.2">
      <c r="A30" s="13"/>
      <c r="B30" s="145"/>
      <c r="C30" s="128"/>
      <c r="D30" s="146"/>
      <c r="E30" s="147"/>
      <c r="F30" s="148"/>
      <c r="G30" s="149"/>
      <c r="H30" s="146"/>
      <c r="I30" s="13"/>
    </row>
    <row r="31" spans="1:9" ht="3.75" customHeight="1" x14ac:dyDescent="0.2">
      <c r="A31" s="13"/>
      <c r="B31" s="140"/>
      <c r="C31" s="137"/>
      <c r="D31" s="150"/>
      <c r="E31" s="142"/>
      <c r="F31" s="154"/>
      <c r="G31" s="152"/>
      <c r="H31" s="150"/>
      <c r="I31" s="13"/>
    </row>
    <row r="32" spans="1:9" ht="18" customHeight="1" x14ac:dyDescent="0.2">
      <c r="A32" s="13"/>
      <c r="B32" s="140" t="s">
        <v>48</v>
      </c>
      <c r="C32" s="137"/>
      <c r="D32" s="141">
        <v>0</v>
      </c>
      <c r="E32" s="142" t="s">
        <v>155</v>
      </c>
      <c r="F32" s="153">
        <v>0.08</v>
      </c>
      <c r="G32" s="144" t="s">
        <v>156</v>
      </c>
      <c r="H32" s="141">
        <f>D32*F32</f>
        <v>0</v>
      </c>
      <c r="I32" s="13"/>
    </row>
    <row r="33" spans="1:9" ht="3.75" customHeight="1" x14ac:dyDescent="0.2">
      <c r="A33" s="13"/>
      <c r="B33" s="145"/>
      <c r="C33" s="128"/>
      <c r="D33" s="146"/>
      <c r="E33" s="147"/>
      <c r="F33" s="148"/>
      <c r="G33" s="149"/>
      <c r="H33" s="146"/>
      <c r="I33" s="13"/>
    </row>
    <row r="34" spans="1:9" ht="3.75" customHeight="1" x14ac:dyDescent="0.2">
      <c r="A34" s="13"/>
      <c r="B34" s="140"/>
      <c r="C34" s="137"/>
      <c r="D34" s="150"/>
      <c r="E34" s="142"/>
      <c r="F34" s="154"/>
      <c r="G34" s="152"/>
      <c r="H34" s="150"/>
      <c r="I34" s="13"/>
    </row>
    <row r="35" spans="1:9" ht="18" customHeight="1" x14ac:dyDescent="0.2">
      <c r="A35" s="13"/>
      <c r="B35" s="140" t="s">
        <v>49</v>
      </c>
      <c r="C35" s="137"/>
      <c r="D35" s="141">
        <v>15</v>
      </c>
      <c r="E35" s="142" t="s">
        <v>155</v>
      </c>
      <c r="F35" s="153">
        <v>0.1</v>
      </c>
      <c r="G35" s="144" t="s">
        <v>156</v>
      </c>
      <c r="H35" s="141">
        <f>D35*F35</f>
        <v>1.5</v>
      </c>
      <c r="I35" s="13"/>
    </row>
    <row r="36" spans="1:9" ht="3.75" customHeight="1" x14ac:dyDescent="0.2">
      <c r="A36" s="13"/>
      <c r="B36" s="145"/>
      <c r="C36" s="128"/>
      <c r="D36" s="146"/>
      <c r="E36" s="145"/>
      <c r="F36" s="148"/>
      <c r="G36" s="155"/>
      <c r="H36" s="146"/>
      <c r="I36" s="13"/>
    </row>
    <row r="37" spans="1:9" ht="3.75" customHeight="1" x14ac:dyDescent="0.2">
      <c r="A37" s="13"/>
      <c r="B37" s="140"/>
      <c r="C37" s="137"/>
      <c r="D37" s="150"/>
      <c r="E37" s="140"/>
      <c r="F37" s="154"/>
      <c r="G37" s="156"/>
      <c r="H37" s="157"/>
      <c r="I37" s="13"/>
    </row>
    <row r="38" spans="1:9" ht="18" customHeight="1" x14ac:dyDescent="0.2">
      <c r="A38" s="13"/>
      <c r="B38" s="140"/>
      <c r="C38" s="137"/>
      <c r="D38" s="150"/>
      <c r="E38" s="140"/>
      <c r="F38" s="13"/>
      <c r="G38" s="100" t="s">
        <v>174</v>
      </c>
      <c r="H38" s="123">
        <f>H26+H29+H32+H35</f>
        <v>1.5</v>
      </c>
      <c r="I38" s="13"/>
    </row>
    <row r="39" spans="1:9" ht="14.25" customHeight="1" x14ac:dyDescent="0.2">
      <c r="A39" s="13"/>
      <c r="B39" s="140"/>
      <c r="C39" s="140"/>
      <c r="D39" s="140"/>
      <c r="E39" s="140"/>
      <c r="F39" s="140"/>
      <c r="G39" s="140"/>
      <c r="H39" s="140"/>
      <c r="I39" s="140"/>
    </row>
    <row r="40" spans="1:9" ht="14.25" customHeight="1" x14ac:dyDescent="0.2">
      <c r="A40" s="13"/>
      <c r="B40" s="140"/>
      <c r="C40" s="140"/>
      <c r="D40" s="140"/>
      <c r="E40" s="140"/>
      <c r="F40" s="140"/>
      <c r="G40" s="140"/>
      <c r="H40" s="140"/>
      <c r="I40" s="140"/>
    </row>
    <row r="41" spans="1:9" ht="14.25" customHeight="1" x14ac:dyDescent="0.2">
      <c r="A41" s="13"/>
      <c r="B41" s="13"/>
      <c r="C41" s="126" t="s">
        <v>172</v>
      </c>
      <c r="D41" s="127"/>
      <c r="E41" s="128"/>
      <c r="F41" s="128"/>
      <c r="G41" s="128"/>
      <c r="H41" s="128"/>
      <c r="I41" s="13"/>
    </row>
    <row r="42" spans="1:9" ht="3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8" customHeight="1" x14ac:dyDescent="0.2">
      <c r="A43" s="13"/>
      <c r="B43" s="13"/>
      <c r="C43" s="13"/>
      <c r="D43" s="13"/>
      <c r="E43" s="13"/>
      <c r="F43" s="100" t="s">
        <v>173</v>
      </c>
      <c r="G43" s="330">
        <f>D23</f>
        <v>95</v>
      </c>
      <c r="H43" s="331"/>
      <c r="I43" s="13"/>
    </row>
    <row r="44" spans="1:9" ht="3.75" customHeight="1" x14ac:dyDescent="0.2">
      <c r="A44" s="13"/>
      <c r="B44" s="140"/>
      <c r="C44" s="137"/>
      <c r="D44" s="150"/>
      <c r="E44" s="140"/>
      <c r="F44" s="154"/>
      <c r="G44" s="156"/>
      <c r="H44" s="158"/>
      <c r="I44" s="13"/>
    </row>
    <row r="45" spans="1:9" ht="18" customHeight="1" x14ac:dyDescent="0.2">
      <c r="A45" s="13"/>
      <c r="B45" s="13"/>
      <c r="C45" s="13"/>
      <c r="D45" s="13"/>
      <c r="E45" s="13"/>
      <c r="F45" s="100" t="s">
        <v>174</v>
      </c>
      <c r="G45" s="332">
        <f>H38</f>
        <v>1.5</v>
      </c>
      <c r="H45" s="333"/>
      <c r="I45" s="13"/>
    </row>
    <row r="46" spans="1:9" ht="3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8" customHeight="1" x14ac:dyDescent="0.2">
      <c r="A47" s="13"/>
      <c r="B47" s="13"/>
      <c r="C47" s="13"/>
      <c r="D47" s="13"/>
      <c r="E47" s="13"/>
      <c r="F47" s="100" t="s">
        <v>175</v>
      </c>
      <c r="G47" s="330">
        <f>G43-G45</f>
        <v>93.5</v>
      </c>
      <c r="H47" s="331"/>
      <c r="I47" s="13"/>
    </row>
    <row r="48" spans="1:9" ht="3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8" customHeight="1" x14ac:dyDescent="0.2">
      <c r="A49" s="13"/>
      <c r="B49" s="13"/>
      <c r="C49" s="13"/>
      <c r="D49" s="13"/>
      <c r="E49" s="13"/>
      <c r="F49" s="100" t="s">
        <v>176</v>
      </c>
      <c r="G49" s="332">
        <f>VLOOKUP($D$6,Pagesa,10,FALSE)</f>
        <v>0</v>
      </c>
      <c r="H49" s="333"/>
      <c r="I49" s="13"/>
    </row>
    <row r="50" spans="1:9" ht="3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8" customHeight="1" x14ac:dyDescent="0.2">
      <c r="A51" s="13"/>
      <c r="B51" s="13"/>
      <c r="C51" s="13"/>
      <c r="D51" s="13"/>
      <c r="E51" s="13"/>
      <c r="F51" s="159" t="s">
        <v>179</v>
      </c>
      <c r="G51" s="330">
        <f>G47-G49</f>
        <v>93.5</v>
      </c>
      <c r="H51" s="331"/>
      <c r="I51" s="13"/>
    </row>
    <row r="56" spans="1:9" x14ac:dyDescent="0.2">
      <c r="B56" s="174" t="s">
        <v>29</v>
      </c>
      <c r="C56" s="172"/>
      <c r="D56" s="172"/>
      <c r="E56" s="172"/>
      <c r="F56" s="172"/>
    </row>
    <row r="57" spans="1:9" x14ac:dyDescent="0.2">
      <c r="B57" s="173"/>
      <c r="C57" s="172"/>
      <c r="D57" s="172"/>
      <c r="E57" s="172"/>
      <c r="F57" s="172"/>
    </row>
    <row r="58" spans="1:9" x14ac:dyDescent="0.2">
      <c r="B58" s="173"/>
      <c r="C58" s="172"/>
      <c r="D58" s="172"/>
      <c r="E58" s="172"/>
      <c r="F58" s="172"/>
    </row>
    <row r="59" spans="1:9" x14ac:dyDescent="0.2">
      <c r="B59" s="174" t="s">
        <v>191</v>
      </c>
      <c r="C59" s="172"/>
      <c r="D59" s="172"/>
      <c r="E59" s="172"/>
      <c r="F59" s="172"/>
    </row>
    <row r="60" spans="1:9" x14ac:dyDescent="0.2">
      <c r="B60" s="173"/>
      <c r="C60" s="172"/>
      <c r="D60" s="172"/>
      <c r="E60" s="172"/>
      <c r="F60" s="172"/>
    </row>
    <row r="61" spans="1:9" x14ac:dyDescent="0.2">
      <c r="B61" s="173"/>
      <c r="C61" s="172"/>
      <c r="D61" s="172"/>
      <c r="E61" s="172"/>
      <c r="F61" s="172"/>
    </row>
    <row r="62" spans="1:9" x14ac:dyDescent="0.2">
      <c r="B62" s="174" t="s">
        <v>192</v>
      </c>
      <c r="C62" s="172"/>
      <c r="D62" s="172"/>
      <c r="E62" s="172"/>
      <c r="F62" s="172"/>
    </row>
  </sheetData>
  <sheetProtection selectLockedCells="1"/>
  <customSheetViews>
    <customSheetView guid="{CE29130D-F54B-4517-B637-01D908CB90D3}" showGridLines="0" hiddenColumns="1" showRuler="0">
      <pane xSplit="9" ySplit="11" topLeftCell="J12" activePane="bottomRight" state="frozen"/>
      <selection pane="bottomRight" activeCell="D6" sqref="D6:E6"/>
      <pageMargins left="0.75" right="0.5" top="1" bottom="1" header="0.5" footer="0.5"/>
      <printOptions horizontalCentered="1"/>
      <pageSetup paperSize="9" orientation="portrait" verticalDpi="0" r:id="rId1"/>
      <headerFooter alignWithMargins="0"/>
    </customSheetView>
  </customSheetViews>
  <mergeCells count="12">
    <mergeCell ref="G51:H51"/>
    <mergeCell ref="G43:H43"/>
    <mergeCell ref="G45:H45"/>
    <mergeCell ref="G47:H47"/>
    <mergeCell ref="G49:H49"/>
    <mergeCell ref="D9:D10"/>
    <mergeCell ref="B2:B3"/>
    <mergeCell ref="D2:H2"/>
    <mergeCell ref="D3:H3"/>
    <mergeCell ref="D6:E6"/>
    <mergeCell ref="G6:H6"/>
    <mergeCell ref="F9:H9"/>
  </mergeCells>
  <phoneticPr fontId="35" type="noConversion"/>
  <dataValidations count="1">
    <dataValidation type="list" allowBlank="1" showInputMessage="1" showErrorMessage="1" sqref="D6:E6">
      <formula1>$K$1:$K$12</formula1>
    </dataValidation>
  </dataValidations>
  <printOptions horizontalCentered="1"/>
  <pageMargins left="0.75" right="0.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5" name="Spinner 1">
              <controlPr defaultSize="0" print="0" autoPict="0">
                <anchor moveWithCells="1" sizeWithCells="1">
                  <from>
                    <xdr:col>2</xdr:col>
                    <xdr:colOff>28575</xdr:colOff>
                    <xdr:row>4</xdr:row>
                    <xdr:rowOff>85725</xdr:rowOff>
                  </from>
                  <to>
                    <xdr:col>2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57"/>
  <sheetViews>
    <sheetView showGridLines="0" showZeros="0" zoomScale="110" workbookViewId="0">
      <pane xSplit="23" ySplit="10" topLeftCell="X11" activePane="bottomRight" state="frozen"/>
      <selection pane="topRight" activeCell="X1" sqref="X1"/>
      <selection pane="bottomLeft" activeCell="A11" sqref="A11"/>
      <selection pane="bottomRight" activeCell="AA5" sqref="AA5"/>
    </sheetView>
  </sheetViews>
  <sheetFormatPr defaultRowHeight="12.75" x14ac:dyDescent="0.2"/>
  <cols>
    <col min="1" max="1" width="1.140625" style="1" customWidth="1"/>
    <col min="2" max="4" width="6" style="1" hidden="1" customWidth="1"/>
    <col min="5" max="5" width="5.140625" style="1" customWidth="1"/>
    <col min="6" max="6" width="19.7109375" style="1" customWidth="1"/>
    <col min="7" max="7" width="14.7109375" style="1" customWidth="1"/>
    <col min="8" max="9" width="21.7109375" style="1" customWidth="1"/>
    <col min="10" max="10" width="11.5703125" style="1" customWidth="1"/>
    <col min="11" max="11" width="0" style="1" hidden="1" customWidth="1"/>
    <col min="12" max="18" width="11.7109375" style="1" hidden="1" customWidth="1"/>
    <col min="19" max="19" width="6.140625" style="1" hidden="1" customWidth="1"/>
    <col min="20" max="20" width="5.5703125" style="1" hidden="1" customWidth="1"/>
    <col min="21" max="21" width="5.85546875" style="1" hidden="1" customWidth="1"/>
    <col min="22" max="22" width="1.5703125" style="1" hidden="1" customWidth="1"/>
    <col min="23" max="23" width="1.85546875" style="1" hidden="1" customWidth="1"/>
    <col min="24" max="16384" width="9.140625" style="1"/>
  </cols>
  <sheetData>
    <row r="1" spans="1:24" ht="15" customHeight="1" x14ac:dyDescent="0.2">
      <c r="A1" s="5"/>
      <c r="B1" s="5"/>
      <c r="C1" s="5"/>
      <c r="D1" s="5"/>
      <c r="E1" s="5"/>
      <c r="F1" s="161"/>
      <c r="G1" s="5"/>
      <c r="H1" s="5"/>
      <c r="I1" s="4"/>
      <c r="J1" s="4"/>
      <c r="K1" s="11" t="s">
        <v>31</v>
      </c>
      <c r="L1" s="4"/>
      <c r="M1" s="110"/>
      <c r="N1" s="5"/>
      <c r="O1" s="5"/>
      <c r="P1" s="5"/>
      <c r="Q1" s="4"/>
      <c r="R1" s="4"/>
      <c r="S1" s="4"/>
      <c r="T1" s="4"/>
      <c r="U1" s="4"/>
      <c r="V1" s="4"/>
      <c r="W1" s="4"/>
      <c r="X1" s="4"/>
    </row>
    <row r="2" spans="1:24" ht="18" customHeight="1" x14ac:dyDescent="0.2">
      <c r="A2" s="5"/>
      <c r="B2" s="5"/>
      <c r="C2" s="5"/>
      <c r="D2" s="5"/>
      <c r="E2" s="334" t="str">
        <f>Shenime!D3</f>
        <v>ASTRONIK</v>
      </c>
      <c r="F2" s="335"/>
      <c r="G2" s="336"/>
      <c r="K2" s="11" t="s">
        <v>32</v>
      </c>
      <c r="L2" s="4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</row>
    <row r="3" spans="1:24" ht="14.25" customHeight="1" x14ac:dyDescent="0.2">
      <c r="A3" s="5"/>
      <c r="B3" s="5"/>
      <c r="C3" s="5"/>
      <c r="D3" s="5"/>
      <c r="E3" s="337" t="str">
        <f>Shenime!D4</f>
        <v>80258348/600456645</v>
      </c>
      <c r="F3" s="338"/>
      <c r="G3" s="339"/>
      <c r="H3" s="98" t="s">
        <v>137</v>
      </c>
      <c r="I3" s="308" t="str">
        <f>Shenime!G3</f>
        <v>ProCredit Bank</v>
      </c>
      <c r="J3" s="335"/>
      <c r="K3" s="11" t="s">
        <v>33</v>
      </c>
      <c r="L3" s="4"/>
      <c r="M3" s="5"/>
      <c r="N3" s="5"/>
      <c r="O3" s="5"/>
      <c r="P3" s="5"/>
      <c r="Q3" s="4"/>
      <c r="R3" s="4"/>
      <c r="S3" s="4"/>
      <c r="T3" s="4"/>
      <c r="U3" s="4"/>
      <c r="V3" s="4"/>
      <c r="W3" s="4"/>
      <c r="X3" s="4"/>
    </row>
    <row r="4" spans="1:24" ht="14.25" customHeight="1" x14ac:dyDescent="0.2">
      <c r="A4" s="5"/>
      <c r="B4" s="5"/>
      <c r="C4" s="5"/>
      <c r="D4" s="5"/>
      <c r="E4" s="340" t="str">
        <f>Shenime!D6</f>
        <v>MALISHEVË</v>
      </c>
      <c r="F4" s="338"/>
      <c r="G4" s="339"/>
      <c r="H4" s="98" t="s">
        <v>136</v>
      </c>
      <c r="I4" s="308" t="str">
        <f>Shenime!G4</f>
        <v>000125412452</v>
      </c>
      <c r="J4" s="335"/>
      <c r="K4" s="11" t="s">
        <v>34</v>
      </c>
      <c r="L4" s="4"/>
      <c r="M4" s="5"/>
      <c r="N4" s="5"/>
      <c r="O4" s="5"/>
      <c r="P4" s="5"/>
      <c r="Q4" s="4"/>
      <c r="R4" s="4"/>
      <c r="S4" s="4"/>
      <c r="T4" s="4"/>
      <c r="U4" s="4"/>
      <c r="V4" s="4"/>
      <c r="W4" s="4"/>
      <c r="X4" s="4"/>
    </row>
    <row r="5" spans="1:2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11" t="s">
        <v>35</v>
      </c>
      <c r="L5" s="4"/>
      <c r="M5" s="5"/>
      <c r="N5" s="5"/>
      <c r="O5" s="5"/>
      <c r="P5" s="5"/>
      <c r="Q5" s="4"/>
      <c r="R5" s="4"/>
      <c r="S5" s="4"/>
      <c r="T5" s="4"/>
      <c r="U5" s="4"/>
      <c r="V5" s="4"/>
      <c r="W5" s="4"/>
      <c r="X5" s="4"/>
    </row>
    <row r="6" spans="1:24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11" t="s">
        <v>36</v>
      </c>
      <c r="L6" s="4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</row>
    <row r="7" spans="1:24" x14ac:dyDescent="0.2">
      <c r="A7" s="5"/>
      <c r="B7" s="5"/>
      <c r="C7" s="5"/>
      <c r="D7" s="5"/>
      <c r="E7" s="5"/>
      <c r="F7" s="5"/>
      <c r="G7" s="11"/>
      <c r="H7" s="11"/>
      <c r="I7" s="5"/>
      <c r="J7" s="5"/>
      <c r="K7" s="11" t="s">
        <v>37</v>
      </c>
      <c r="L7" s="4"/>
      <c r="M7" s="5"/>
      <c r="N7" s="5"/>
      <c r="O7" s="5"/>
      <c r="P7" s="5"/>
      <c r="Q7" s="4"/>
      <c r="R7" s="4"/>
      <c r="S7" s="4"/>
      <c r="T7" s="4"/>
      <c r="U7" s="4"/>
      <c r="V7" s="4"/>
      <c r="W7" s="4"/>
      <c r="X7" s="4"/>
    </row>
    <row r="8" spans="1:24" ht="21" customHeight="1" x14ac:dyDescent="0.2">
      <c r="A8" s="5"/>
      <c r="B8" s="5"/>
      <c r="C8" s="5"/>
      <c r="D8" s="5"/>
      <c r="E8" s="4"/>
      <c r="F8" s="5"/>
      <c r="G8" s="5"/>
      <c r="H8" s="162" t="s">
        <v>182</v>
      </c>
      <c r="I8" s="235" t="s">
        <v>39</v>
      </c>
      <c r="J8" s="236">
        <f>Shenime!H7</f>
        <v>2019</v>
      </c>
      <c r="K8" s="11" t="s">
        <v>38</v>
      </c>
      <c r="L8" s="5"/>
      <c r="M8" s="5"/>
      <c r="N8" s="5"/>
      <c r="O8" s="5"/>
      <c r="P8" s="5"/>
      <c r="Q8" s="4"/>
      <c r="R8" s="4"/>
      <c r="S8" s="4"/>
      <c r="T8" s="4"/>
      <c r="U8" s="4"/>
      <c r="V8" s="4"/>
      <c r="W8" s="4"/>
      <c r="X8" s="4"/>
    </row>
    <row r="9" spans="1:24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11" t="s">
        <v>39</v>
      </c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4"/>
      <c r="X9" s="4"/>
    </row>
    <row r="10" spans="1:24" ht="27" customHeight="1" x14ac:dyDescent="0.2">
      <c r="A10" s="5"/>
      <c r="B10" s="5"/>
      <c r="C10" s="5"/>
      <c r="D10" s="5"/>
      <c r="E10" s="66" t="s">
        <v>0</v>
      </c>
      <c r="F10" s="66" t="s">
        <v>4</v>
      </c>
      <c r="G10" s="66" t="s">
        <v>21</v>
      </c>
      <c r="H10" s="66" t="s">
        <v>160</v>
      </c>
      <c r="I10" s="66" t="s">
        <v>180</v>
      </c>
      <c r="J10" s="66" t="s">
        <v>181</v>
      </c>
      <c r="K10" s="11" t="s">
        <v>40</v>
      </c>
      <c r="L10" s="164" t="s">
        <v>31</v>
      </c>
      <c r="M10" s="164" t="s">
        <v>32</v>
      </c>
      <c r="N10" s="164" t="s">
        <v>33</v>
      </c>
      <c r="O10" s="164" t="s">
        <v>34</v>
      </c>
      <c r="P10" s="164" t="s">
        <v>35</v>
      </c>
      <c r="Q10" s="164" t="s">
        <v>36</v>
      </c>
      <c r="R10" s="164" t="s">
        <v>37</v>
      </c>
      <c r="S10" s="164" t="s">
        <v>38</v>
      </c>
      <c r="T10" s="164" t="s">
        <v>39</v>
      </c>
      <c r="U10" s="164" t="s">
        <v>40</v>
      </c>
      <c r="V10" s="164" t="s">
        <v>41</v>
      </c>
      <c r="W10" s="164" t="s">
        <v>42</v>
      </c>
      <c r="X10" s="4"/>
    </row>
    <row r="11" spans="1:24" ht="16.5" customHeight="1" x14ac:dyDescent="0.2">
      <c r="A11" s="5"/>
      <c r="B11" s="124">
        <v>1</v>
      </c>
      <c r="C11" s="124">
        <f t="shared" ref="C11:C20" si="0">IF(J11=0,0,1)</f>
        <v>1</v>
      </c>
      <c r="D11" s="124">
        <f t="shared" ref="D11:D20" si="1">D10+C11</f>
        <v>1</v>
      </c>
      <c r="E11" s="231">
        <f t="shared" ref="E11:E20" si="2">IF(C11=0,0,D11)</f>
        <v>1</v>
      </c>
      <c r="F11" s="232" t="str">
        <f>Shenime!C11</f>
        <v>Albulena Morina</v>
      </c>
      <c r="G11" s="233" t="str">
        <f>Shenime!D11</f>
        <v>1013459742</v>
      </c>
      <c r="H11" s="231" t="str">
        <f>Shenime!G11</f>
        <v>PCB</v>
      </c>
      <c r="I11" s="231" t="str">
        <f>Shenime!H11</f>
        <v>00045214519</v>
      </c>
      <c r="J11" s="234">
        <f>SUM(L11:W11)</f>
        <v>203.84</v>
      </c>
      <c r="K11" s="11" t="s">
        <v>41</v>
      </c>
      <c r="L11" s="165">
        <f>IF($I$8=L$10,Janar!$X11,0)</f>
        <v>0</v>
      </c>
      <c r="M11" s="165">
        <f>IF($I$8=M$10,Shkurt!$X11,0)</f>
        <v>0</v>
      </c>
      <c r="N11" s="165">
        <f>IF($I$8=N$10,Mars!$X11,0)</f>
        <v>0</v>
      </c>
      <c r="O11" s="165">
        <f>IF($I$8=O$10,Prill!$X11,0)</f>
        <v>0</v>
      </c>
      <c r="P11" s="165">
        <f>IF($I$8=P$10,Maj!$X11,0)</f>
        <v>0</v>
      </c>
      <c r="Q11" s="165">
        <f>IF($I$8=Q$10,Qershor!$X11,0)</f>
        <v>0</v>
      </c>
      <c r="R11" s="165">
        <f>IF($I$8=R$10,Korrik!$X11,0)</f>
        <v>0</v>
      </c>
      <c r="S11" s="165">
        <f>IF($I$8=S$10,Gusht!$X11,0)</f>
        <v>0</v>
      </c>
      <c r="T11" s="165">
        <f>IF($I$8=T$10,Shtator!$X11,0)</f>
        <v>203.84</v>
      </c>
      <c r="U11" s="165">
        <f>IF($I$8=U$10,Tetor!$X11,0)</f>
        <v>0</v>
      </c>
      <c r="V11" s="165">
        <f>IF($I$8=V$10,Nentor!$X11,0)</f>
        <v>0</v>
      </c>
      <c r="W11" s="165">
        <f>IF($I$8=W$10,Dhjetor!$X11,0)</f>
        <v>0</v>
      </c>
      <c r="X11" s="4"/>
    </row>
    <row r="12" spans="1:24" ht="16.5" customHeight="1" x14ac:dyDescent="0.2">
      <c r="A12" s="5"/>
      <c r="B12" s="124">
        <v>2</v>
      </c>
      <c r="C12" s="124">
        <f t="shared" si="0"/>
        <v>1</v>
      </c>
      <c r="D12" s="124">
        <f t="shared" si="1"/>
        <v>2</v>
      </c>
      <c r="E12" s="231">
        <f t="shared" si="2"/>
        <v>2</v>
      </c>
      <c r="F12" s="232">
        <f>Shenime!C12</f>
        <v>0</v>
      </c>
      <c r="G12" s="233">
        <f>Shenime!D12</f>
        <v>0</v>
      </c>
      <c r="H12" s="231">
        <f>Shenime!G12</f>
        <v>0</v>
      </c>
      <c r="I12" s="231">
        <f>Shenime!H12</f>
        <v>0</v>
      </c>
      <c r="J12" s="234">
        <f t="shared" ref="J12:J20" si="3">SUM(L12:W12)</f>
        <v>185.6</v>
      </c>
      <c r="K12" s="11" t="s">
        <v>42</v>
      </c>
      <c r="L12" s="165">
        <f>IF($I$8=L$10,Janar!$X12,0)</f>
        <v>0</v>
      </c>
      <c r="M12" s="165">
        <f>IF($I$8=M$10,Shkurt!$X12,0)</f>
        <v>0</v>
      </c>
      <c r="N12" s="165">
        <f>IF($I$8=N$10,Mars!$X12,0)</f>
        <v>0</v>
      </c>
      <c r="O12" s="165">
        <f>IF($I$8=O$10,Prill!$X12,0)</f>
        <v>0</v>
      </c>
      <c r="P12" s="165">
        <f>IF($I$8=P$10,Maj!$X12,0)</f>
        <v>0</v>
      </c>
      <c r="Q12" s="165">
        <f>IF($I$8=Q$10,Qershor!$X12,0)</f>
        <v>0</v>
      </c>
      <c r="R12" s="165">
        <f>IF($I$8=R$10,Korrik!$X12,0)</f>
        <v>0</v>
      </c>
      <c r="S12" s="165">
        <f>IF($I$8=S$10,Gusht!$X12,0)</f>
        <v>0</v>
      </c>
      <c r="T12" s="165">
        <f>IF($I$8=T$10,Shtator!$X12,0)</f>
        <v>185.6</v>
      </c>
      <c r="U12" s="165">
        <f>IF($I$8=U$10,Tetor!$X12,0)</f>
        <v>0</v>
      </c>
      <c r="V12" s="165">
        <f>IF($I$8=V$10,Nentor!$X12,0)</f>
        <v>0</v>
      </c>
      <c r="W12" s="165">
        <f>IF($I$8=W$10,Dhjetor!$X12,0)</f>
        <v>0</v>
      </c>
      <c r="X12" s="4"/>
    </row>
    <row r="13" spans="1:24" ht="16.5" customHeight="1" x14ac:dyDescent="0.2">
      <c r="A13" s="5"/>
      <c r="B13" s="124">
        <v>3</v>
      </c>
      <c r="C13" s="124">
        <f t="shared" si="0"/>
        <v>1</v>
      </c>
      <c r="D13" s="124">
        <f t="shared" si="1"/>
        <v>3</v>
      </c>
      <c r="E13" s="231">
        <f t="shared" si="2"/>
        <v>3</v>
      </c>
      <c r="F13" s="232">
        <f>Shenime!C13</f>
        <v>0</v>
      </c>
      <c r="G13" s="233">
        <f>Shenime!D13</f>
        <v>0</v>
      </c>
      <c r="H13" s="231">
        <f>Shenime!G13</f>
        <v>0</v>
      </c>
      <c r="I13" s="231">
        <f>Shenime!H13</f>
        <v>0</v>
      </c>
      <c r="J13" s="234">
        <f t="shared" si="3"/>
        <v>176.48</v>
      </c>
      <c r="K13" s="166"/>
      <c r="L13" s="165">
        <f>IF($I$8=L$10,Janar!$X13,0)</f>
        <v>0</v>
      </c>
      <c r="M13" s="165">
        <f>IF($I$8=M$10,Shkurt!$X13,0)</f>
        <v>0</v>
      </c>
      <c r="N13" s="165">
        <f>IF($I$8=N$10,Mars!$X13,0)</f>
        <v>0</v>
      </c>
      <c r="O13" s="165">
        <f>IF($I$8=O$10,Prill!$X13,0)</f>
        <v>0</v>
      </c>
      <c r="P13" s="165">
        <f>IF($I$8=P$10,Maj!$X13,0)</f>
        <v>0</v>
      </c>
      <c r="Q13" s="165">
        <f>IF($I$8=Q$10,Qershor!$X13,0)</f>
        <v>0</v>
      </c>
      <c r="R13" s="165">
        <f>IF($I$8=R$10,Korrik!$X13,0)</f>
        <v>0</v>
      </c>
      <c r="S13" s="165">
        <f>IF($I$8=S$10,Gusht!$X13,0)</f>
        <v>0</v>
      </c>
      <c r="T13" s="165">
        <f>IF($I$8=T$10,Shtator!$X13,0)</f>
        <v>176.48</v>
      </c>
      <c r="U13" s="165">
        <f>IF($I$8=U$10,Tetor!$X13,0)</f>
        <v>0</v>
      </c>
      <c r="V13" s="165">
        <f>IF($I$8=V$10,Nentor!$X13,0)</f>
        <v>0</v>
      </c>
      <c r="W13" s="165">
        <f>IF($I$8=W$10,Dhjetor!$X13,0)</f>
        <v>0</v>
      </c>
      <c r="X13" s="4"/>
    </row>
    <row r="14" spans="1:24" ht="16.5" customHeight="1" x14ac:dyDescent="0.2">
      <c r="A14" s="5"/>
      <c r="B14" s="124">
        <v>4</v>
      </c>
      <c r="C14" s="124">
        <f t="shared" si="0"/>
        <v>1</v>
      </c>
      <c r="D14" s="124">
        <f t="shared" si="1"/>
        <v>4</v>
      </c>
      <c r="E14" s="231">
        <f t="shared" si="2"/>
        <v>4</v>
      </c>
      <c r="F14" s="232">
        <f>Shenime!C14</f>
        <v>0</v>
      </c>
      <c r="G14" s="233">
        <f>Shenime!D14</f>
        <v>0</v>
      </c>
      <c r="H14" s="231">
        <f>Shenime!G14</f>
        <v>0</v>
      </c>
      <c r="I14" s="231">
        <f>Shenime!H14</f>
        <v>0</v>
      </c>
      <c r="J14" s="234">
        <f t="shared" si="3"/>
        <v>140</v>
      </c>
      <c r="K14" s="166"/>
      <c r="L14" s="165">
        <f>IF($I$8=L$10,Janar!$X14,0)</f>
        <v>0</v>
      </c>
      <c r="M14" s="165">
        <f>IF($I$8=M$10,Shkurt!$X14,0)</f>
        <v>0</v>
      </c>
      <c r="N14" s="165">
        <f>IF($I$8=N$10,Mars!$X14,0)</f>
        <v>0</v>
      </c>
      <c r="O14" s="165">
        <f>IF($I$8=O$10,Prill!$X14,0)</f>
        <v>0</v>
      </c>
      <c r="P14" s="165">
        <f>IF($I$8=P$10,Maj!$X14,0)</f>
        <v>0</v>
      </c>
      <c r="Q14" s="165">
        <f>IF($I$8=Q$10,Qershor!$X14,0)</f>
        <v>0</v>
      </c>
      <c r="R14" s="165">
        <f>IF($I$8=R$10,Korrik!$X14,0)</f>
        <v>0</v>
      </c>
      <c r="S14" s="165">
        <f>IF($I$8=S$10,Gusht!$X14,0)</f>
        <v>0</v>
      </c>
      <c r="T14" s="165">
        <f>IF($I$8=T$10,Shtator!$X14,0)</f>
        <v>140</v>
      </c>
      <c r="U14" s="165">
        <f>IF($I$8=U$10,Tetor!$X14,0)</f>
        <v>0</v>
      </c>
      <c r="V14" s="165">
        <f>IF($I$8=V$10,Nentor!$X14,0)</f>
        <v>0</v>
      </c>
      <c r="W14" s="165">
        <f>IF($I$8=W$10,Dhjetor!$X14,0)</f>
        <v>0</v>
      </c>
      <c r="X14" s="4"/>
    </row>
    <row r="15" spans="1:24" ht="16.5" customHeight="1" x14ac:dyDescent="0.2">
      <c r="A15" s="5"/>
      <c r="B15" s="124">
        <v>5</v>
      </c>
      <c r="C15" s="124">
        <f t="shared" si="0"/>
        <v>1</v>
      </c>
      <c r="D15" s="124">
        <f t="shared" si="1"/>
        <v>5</v>
      </c>
      <c r="E15" s="231">
        <f t="shared" si="2"/>
        <v>5</v>
      </c>
      <c r="F15" s="232">
        <f>Shenime!C15</f>
        <v>0</v>
      </c>
      <c r="G15" s="233">
        <f>Shenime!D15</f>
        <v>0</v>
      </c>
      <c r="H15" s="231">
        <f>Shenime!G15</f>
        <v>0</v>
      </c>
      <c r="I15" s="231">
        <f>Shenime!H15</f>
        <v>0</v>
      </c>
      <c r="J15" s="234">
        <f t="shared" si="3"/>
        <v>231.2</v>
      </c>
      <c r="K15" s="166"/>
      <c r="L15" s="165">
        <f>IF($I$8=L$10,Janar!$X15,0)</f>
        <v>0</v>
      </c>
      <c r="M15" s="165">
        <f>IF($I$8=M$10,Shkurt!$X15,0)</f>
        <v>0</v>
      </c>
      <c r="N15" s="165">
        <f>IF($I$8=N$10,Mars!$X15,0)</f>
        <v>0</v>
      </c>
      <c r="O15" s="165">
        <f>IF($I$8=O$10,Prill!$X15,0)</f>
        <v>0</v>
      </c>
      <c r="P15" s="165">
        <f>IF($I$8=P$10,Maj!$X15,0)</f>
        <v>0</v>
      </c>
      <c r="Q15" s="165">
        <f>IF($I$8=Q$10,Qershor!$X15,0)</f>
        <v>0</v>
      </c>
      <c r="R15" s="165">
        <f>IF($I$8=R$10,Korrik!$X15,0)</f>
        <v>0</v>
      </c>
      <c r="S15" s="165">
        <f>IF($I$8=S$10,Gusht!$X15,0)</f>
        <v>0</v>
      </c>
      <c r="T15" s="165">
        <f>IF($I$8=T$10,Shtator!$X15,0)</f>
        <v>231.2</v>
      </c>
      <c r="U15" s="165">
        <f>IF($I$8=U$10,Tetor!$X15,0)</f>
        <v>0</v>
      </c>
      <c r="V15" s="165">
        <f>IF($I$8=V$10,Nentor!$X15,0)</f>
        <v>0</v>
      </c>
      <c r="W15" s="165">
        <f>IF($I$8=W$10,Dhjetor!$X15,0)</f>
        <v>0</v>
      </c>
      <c r="X15" s="4"/>
    </row>
    <row r="16" spans="1:24" ht="16.5" customHeight="1" x14ac:dyDescent="0.2">
      <c r="A16" s="5"/>
      <c r="B16" s="124">
        <v>6</v>
      </c>
      <c r="C16" s="124">
        <f t="shared" si="0"/>
        <v>1</v>
      </c>
      <c r="D16" s="124">
        <f t="shared" si="1"/>
        <v>6</v>
      </c>
      <c r="E16" s="231">
        <f t="shared" si="2"/>
        <v>6</v>
      </c>
      <c r="F16" s="232">
        <f>Shenime!C16</f>
        <v>0</v>
      </c>
      <c r="G16" s="233">
        <f>Shenime!D16</f>
        <v>0</v>
      </c>
      <c r="H16" s="231">
        <f>Shenime!G16</f>
        <v>0</v>
      </c>
      <c r="I16" s="231">
        <f>Shenime!H16</f>
        <v>0</v>
      </c>
      <c r="J16" s="234">
        <f t="shared" si="3"/>
        <v>145.35</v>
      </c>
      <c r="K16" s="166"/>
      <c r="L16" s="165">
        <f>IF($I$8=L$10,Janar!$X16,0)</f>
        <v>0</v>
      </c>
      <c r="M16" s="165">
        <f>IF($I$8=M$10,Shkurt!$X16,0)</f>
        <v>0</v>
      </c>
      <c r="N16" s="165">
        <f>IF($I$8=N$10,Mars!$X16,0)</f>
        <v>0</v>
      </c>
      <c r="O16" s="165">
        <f>IF($I$8=O$10,Prill!$X16,0)</f>
        <v>0</v>
      </c>
      <c r="P16" s="165">
        <f>IF($I$8=P$10,Maj!$X16,0)</f>
        <v>0</v>
      </c>
      <c r="Q16" s="165">
        <f>IF($I$8=Q$10,Qershor!$X16,0)</f>
        <v>0</v>
      </c>
      <c r="R16" s="165">
        <f>IF($I$8=R$10,Korrik!$X16,0)</f>
        <v>0</v>
      </c>
      <c r="S16" s="165">
        <f>IF($I$8=S$10,Gusht!$X16,0)</f>
        <v>0</v>
      </c>
      <c r="T16" s="165">
        <f>IF($I$8=T$10,Shtator!$X16,0)</f>
        <v>145.35</v>
      </c>
      <c r="U16" s="165">
        <f>IF($I$8=U$10,Tetor!$X16,0)</f>
        <v>0</v>
      </c>
      <c r="V16" s="165">
        <f>IF($I$8=V$10,Nentor!$X16,0)</f>
        <v>0</v>
      </c>
      <c r="W16" s="165">
        <f>IF($I$8=W$10,Dhjetor!$X16,0)</f>
        <v>0</v>
      </c>
      <c r="X16" s="4"/>
    </row>
    <row r="17" spans="1:24" ht="16.5" customHeight="1" x14ac:dyDescent="0.2">
      <c r="A17" s="5"/>
      <c r="B17" s="124">
        <v>7</v>
      </c>
      <c r="C17" s="124">
        <f t="shared" si="0"/>
        <v>1</v>
      </c>
      <c r="D17" s="124">
        <f t="shared" si="1"/>
        <v>7</v>
      </c>
      <c r="E17" s="231">
        <f t="shared" si="2"/>
        <v>7</v>
      </c>
      <c r="F17" s="232">
        <f>Shenime!C17</f>
        <v>0</v>
      </c>
      <c r="G17" s="233">
        <f>Shenime!D17</f>
        <v>0</v>
      </c>
      <c r="H17" s="231">
        <f>Shenime!G17</f>
        <v>0</v>
      </c>
      <c r="I17" s="231">
        <f>Shenime!H17</f>
        <v>0</v>
      </c>
      <c r="J17" s="234">
        <f t="shared" si="3"/>
        <v>185.6</v>
      </c>
      <c r="K17" s="166"/>
      <c r="L17" s="165">
        <f>IF($I$8=L$10,Janar!$X17,0)</f>
        <v>0</v>
      </c>
      <c r="M17" s="165">
        <f>IF($I$8=M$10,Shkurt!$X17,0)</f>
        <v>0</v>
      </c>
      <c r="N17" s="165">
        <f>IF($I$8=N$10,Mars!$X17,0)</f>
        <v>0</v>
      </c>
      <c r="O17" s="165">
        <f>IF($I$8=O$10,Prill!$X17,0)</f>
        <v>0</v>
      </c>
      <c r="P17" s="165">
        <f>IF($I$8=P$10,Maj!$X17,0)</f>
        <v>0</v>
      </c>
      <c r="Q17" s="165">
        <f>IF($I$8=Q$10,Qershor!$X17,0)</f>
        <v>0</v>
      </c>
      <c r="R17" s="165">
        <f>IF($I$8=R$10,Korrik!$X17,0)</f>
        <v>0</v>
      </c>
      <c r="S17" s="165">
        <f>IF($I$8=S$10,Gusht!$X17,0)</f>
        <v>0</v>
      </c>
      <c r="T17" s="165">
        <f>IF($I$8=T$10,Shtator!$X17,0)</f>
        <v>185.6</v>
      </c>
      <c r="U17" s="165">
        <f>IF($I$8=U$10,Tetor!$X17,0)</f>
        <v>0</v>
      </c>
      <c r="V17" s="165">
        <f>IF($I$8=V$10,Nentor!$X17,0)</f>
        <v>0</v>
      </c>
      <c r="W17" s="165">
        <f>IF($I$8=W$10,Dhjetor!$X17,0)</f>
        <v>0</v>
      </c>
      <c r="X17" s="4"/>
    </row>
    <row r="18" spans="1:24" ht="16.5" customHeight="1" x14ac:dyDescent="0.2">
      <c r="A18" s="5"/>
      <c r="B18" s="124">
        <v>8</v>
      </c>
      <c r="C18" s="124">
        <f t="shared" si="0"/>
        <v>1</v>
      </c>
      <c r="D18" s="124">
        <f t="shared" si="1"/>
        <v>8</v>
      </c>
      <c r="E18" s="231">
        <f t="shared" si="2"/>
        <v>8</v>
      </c>
      <c r="F18" s="232">
        <f>Shenime!C18</f>
        <v>0</v>
      </c>
      <c r="G18" s="233">
        <f>Shenime!D18</f>
        <v>0</v>
      </c>
      <c r="H18" s="231">
        <f>Shenime!G18</f>
        <v>0</v>
      </c>
      <c r="I18" s="231">
        <f>Shenime!H18</f>
        <v>0</v>
      </c>
      <c r="J18" s="234">
        <f t="shared" si="3"/>
        <v>94.4</v>
      </c>
      <c r="K18" s="166"/>
      <c r="L18" s="165">
        <f>IF($I$8=L$10,Janar!$X18,0)</f>
        <v>0</v>
      </c>
      <c r="M18" s="165">
        <f>IF($I$8=M$10,Shkurt!$X18,0)</f>
        <v>0</v>
      </c>
      <c r="N18" s="165">
        <f>IF($I$8=N$10,Mars!$X18,0)</f>
        <v>0</v>
      </c>
      <c r="O18" s="165">
        <f>IF($I$8=O$10,Prill!$X18,0)</f>
        <v>0</v>
      </c>
      <c r="P18" s="165">
        <f>IF($I$8=P$10,Maj!$X18,0)</f>
        <v>0</v>
      </c>
      <c r="Q18" s="165">
        <f>IF($I$8=Q$10,Qershor!$X18,0)</f>
        <v>0</v>
      </c>
      <c r="R18" s="165">
        <f>IF($I$8=R$10,Korrik!$X18,0)</f>
        <v>0</v>
      </c>
      <c r="S18" s="165">
        <f>IF($I$8=S$10,Gusht!$X18,0)</f>
        <v>0</v>
      </c>
      <c r="T18" s="165">
        <f>IF($I$8=T$10,Shtator!$X18,0)</f>
        <v>94.4</v>
      </c>
      <c r="U18" s="165">
        <f>IF($I$8=U$10,Tetor!$X18,0)</f>
        <v>0</v>
      </c>
      <c r="V18" s="165">
        <f>IF($I$8=V$10,Nentor!$X18,0)</f>
        <v>0</v>
      </c>
      <c r="W18" s="165">
        <f>IF($I$8=W$10,Dhjetor!$X18,0)</f>
        <v>0</v>
      </c>
      <c r="X18" s="4"/>
    </row>
    <row r="19" spans="1:24" ht="16.5" customHeight="1" x14ac:dyDescent="0.2">
      <c r="A19" s="5"/>
      <c r="B19" s="124">
        <v>9</v>
      </c>
      <c r="C19" s="124">
        <f t="shared" si="0"/>
        <v>1</v>
      </c>
      <c r="D19" s="124">
        <f t="shared" si="1"/>
        <v>9</v>
      </c>
      <c r="E19" s="231">
        <f t="shared" si="2"/>
        <v>9</v>
      </c>
      <c r="F19" s="232">
        <f>Shenime!C19</f>
        <v>0</v>
      </c>
      <c r="G19" s="233">
        <f>Shenime!D19</f>
        <v>0</v>
      </c>
      <c r="H19" s="231">
        <f>Shenime!G19</f>
        <v>0</v>
      </c>
      <c r="I19" s="231">
        <f>Shenime!H19</f>
        <v>0</v>
      </c>
      <c r="J19" s="234">
        <f t="shared" si="3"/>
        <v>185.6</v>
      </c>
      <c r="K19" s="166"/>
      <c r="L19" s="165">
        <f>IF($I$8=L$10,Janar!$X19,0)</f>
        <v>0</v>
      </c>
      <c r="M19" s="165">
        <f>IF($I$8=M$10,Shkurt!$X19,0)</f>
        <v>0</v>
      </c>
      <c r="N19" s="165">
        <f>IF($I$8=N$10,Mars!$X19,0)</f>
        <v>0</v>
      </c>
      <c r="O19" s="165">
        <f>IF($I$8=O$10,Prill!$X19,0)</f>
        <v>0</v>
      </c>
      <c r="P19" s="165">
        <f>IF($I$8=P$10,Maj!$X19,0)</f>
        <v>0</v>
      </c>
      <c r="Q19" s="165">
        <f>IF($I$8=Q$10,Qershor!$X19,0)</f>
        <v>0</v>
      </c>
      <c r="R19" s="165">
        <f>IF($I$8=R$10,Korrik!$X19,0)</f>
        <v>0</v>
      </c>
      <c r="S19" s="165">
        <f>IF($I$8=S$10,Gusht!$X19,0)</f>
        <v>0</v>
      </c>
      <c r="T19" s="165">
        <f>IF($I$8=T$10,Shtator!$X19,0)</f>
        <v>185.6</v>
      </c>
      <c r="U19" s="165">
        <f>IF($I$8=U$10,Tetor!$X19,0)</f>
        <v>0</v>
      </c>
      <c r="V19" s="165">
        <f>IF($I$8=V$10,Nentor!$X19,0)</f>
        <v>0</v>
      </c>
      <c r="W19" s="165">
        <f>IF($I$8=W$10,Dhjetor!$X19,0)</f>
        <v>0</v>
      </c>
      <c r="X19" s="4"/>
    </row>
    <row r="20" spans="1:24" ht="16.5" customHeight="1" x14ac:dyDescent="0.2">
      <c r="A20" s="5"/>
      <c r="B20" s="124">
        <v>10</v>
      </c>
      <c r="C20" s="124">
        <f t="shared" si="0"/>
        <v>0</v>
      </c>
      <c r="D20" s="124">
        <f t="shared" si="1"/>
        <v>9</v>
      </c>
      <c r="E20" s="231">
        <f t="shared" si="2"/>
        <v>0</v>
      </c>
      <c r="F20" s="232">
        <f>Shenime!C20</f>
        <v>0</v>
      </c>
      <c r="G20" s="233">
        <f>Shenime!D20</f>
        <v>0</v>
      </c>
      <c r="H20" s="231">
        <f>Shenime!G20</f>
        <v>0</v>
      </c>
      <c r="I20" s="231">
        <f>Shenime!H20</f>
        <v>0</v>
      </c>
      <c r="J20" s="234">
        <f t="shared" si="3"/>
        <v>0</v>
      </c>
      <c r="K20" s="166"/>
      <c r="L20" s="165">
        <f>IF($I$8=L$10,Janar!$X21,0)</f>
        <v>0</v>
      </c>
      <c r="M20" s="165">
        <f>IF($I$8=M$10,Shkurt!$X20,0)</f>
        <v>0</v>
      </c>
      <c r="N20" s="165">
        <f>IF($I$8=N$10,Mars!$X20,0)</f>
        <v>0</v>
      </c>
      <c r="O20" s="165">
        <f>IF($I$8=O$10,Prill!$X20,0)</f>
        <v>0</v>
      </c>
      <c r="P20" s="165">
        <f>IF($I$8=P$10,Maj!$X20,0)</f>
        <v>0</v>
      </c>
      <c r="Q20" s="165">
        <f>IF($I$8=Q$10,Qershor!$X20,0)</f>
        <v>0</v>
      </c>
      <c r="R20" s="165">
        <f>IF($I$8=R$10,Korrik!$X20,0)</f>
        <v>0</v>
      </c>
      <c r="S20" s="165">
        <f>IF($I$8=S$10,Gusht!$X20,0)</f>
        <v>0</v>
      </c>
      <c r="T20" s="165">
        <f>IF($I$8=T$10,Shtator!$X20,0)</f>
        <v>0</v>
      </c>
      <c r="U20" s="165">
        <f>IF($I$8=U$10,Tetor!$X20,0)</f>
        <v>0</v>
      </c>
      <c r="V20" s="165">
        <f>IF($I$8=V$10,Nentor!$X20,0)</f>
        <v>0</v>
      </c>
      <c r="W20" s="165">
        <f>IF($I$8=W$10,Dhjetor!$X20,0)</f>
        <v>0</v>
      </c>
      <c r="X20" s="4"/>
    </row>
    <row r="21" spans="1:24" ht="4.5" customHeight="1" x14ac:dyDescent="0.2">
      <c r="A21" s="5"/>
      <c r="B21" s="5"/>
      <c r="C21" s="5"/>
      <c r="D21" s="5"/>
      <c r="E21" s="163"/>
      <c r="F21" s="163"/>
      <c r="G21" s="163"/>
      <c r="H21" s="163"/>
      <c r="I21" s="163"/>
      <c r="J21" s="171"/>
      <c r="K21" s="163"/>
      <c r="L21" s="163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</row>
    <row r="22" spans="1:24" ht="18" customHeight="1" x14ac:dyDescent="0.2">
      <c r="A22" s="5"/>
      <c r="B22" s="5"/>
      <c r="C22" s="5"/>
      <c r="D22" s="5"/>
      <c r="E22" s="13"/>
      <c r="F22" s="13"/>
      <c r="G22" s="13"/>
      <c r="H22" s="13"/>
      <c r="I22" s="13"/>
      <c r="J22" s="237">
        <f>SUBTOTAL(9,J11:J20)</f>
        <v>1548.0699999999997</v>
      </c>
      <c r="K22" s="5"/>
      <c r="L22" s="5"/>
      <c r="M22" s="5"/>
      <c r="N22" s="5"/>
      <c r="O22" s="5"/>
      <c r="P22" s="5"/>
      <c r="Q22" s="4"/>
      <c r="R22" s="4"/>
      <c r="S22" s="4"/>
      <c r="T22" s="4"/>
      <c r="U22" s="4"/>
      <c r="V22" s="4"/>
      <c r="W22" s="4"/>
      <c r="X22" s="4"/>
    </row>
    <row r="23" spans="1:24" x14ac:dyDescent="0.2">
      <c r="A23" s="109"/>
      <c r="B23" s="109"/>
      <c r="C23" s="109"/>
      <c r="D23" s="109"/>
      <c r="E23" s="106"/>
      <c r="F23" s="106"/>
      <c r="G23" s="106"/>
      <c r="H23" s="106"/>
      <c r="I23" s="106"/>
      <c r="J23" s="106"/>
      <c r="K23" s="109"/>
      <c r="L23" s="109"/>
      <c r="M23" s="109"/>
      <c r="N23" s="109"/>
      <c r="O23" s="109"/>
      <c r="P23" s="109"/>
    </row>
    <row r="24" spans="1:24" x14ac:dyDescent="0.2">
      <c r="A24" s="109"/>
      <c r="B24" s="109"/>
      <c r="C24" s="109"/>
      <c r="D24" s="109"/>
      <c r="E24" s="106"/>
      <c r="F24" s="106"/>
      <c r="G24" s="106"/>
      <c r="H24" s="106"/>
      <c r="I24" s="106"/>
      <c r="J24" s="106"/>
      <c r="K24" s="109"/>
      <c r="L24" s="109"/>
      <c r="M24" s="109"/>
      <c r="N24" s="109"/>
      <c r="O24" s="109"/>
      <c r="P24" s="109"/>
    </row>
    <row r="25" spans="1:24" x14ac:dyDescent="0.2">
      <c r="A25" s="109"/>
      <c r="B25" s="109"/>
      <c r="C25" s="109"/>
      <c r="D25" s="109"/>
      <c r="E25" s="9"/>
      <c r="F25" s="9"/>
      <c r="G25" s="73"/>
      <c r="H25" s="73"/>
      <c r="I25" s="106"/>
      <c r="J25" s="106"/>
      <c r="K25" s="109"/>
      <c r="L25" s="109"/>
      <c r="M25" s="109"/>
      <c r="N25" s="109"/>
      <c r="O25" s="109"/>
      <c r="P25" s="109"/>
    </row>
    <row r="26" spans="1:24" x14ac:dyDescent="0.2">
      <c r="A26" s="109"/>
      <c r="B26" s="109"/>
      <c r="C26" s="109"/>
      <c r="D26" s="109"/>
      <c r="E26" s="106"/>
      <c r="F26" s="106"/>
      <c r="G26" s="106"/>
      <c r="H26" s="106"/>
      <c r="I26" s="106"/>
      <c r="J26" s="106"/>
      <c r="K26" s="109"/>
      <c r="L26" s="109"/>
      <c r="M26" s="109"/>
      <c r="N26" s="109"/>
      <c r="O26" s="109"/>
      <c r="P26" s="109"/>
    </row>
    <row r="27" spans="1:24" x14ac:dyDescent="0.2">
      <c r="A27" s="109"/>
      <c r="B27" s="109"/>
      <c r="C27" s="109"/>
      <c r="D27" s="109"/>
      <c r="E27" s="106"/>
      <c r="F27" s="106"/>
      <c r="G27" s="106"/>
      <c r="H27" s="106"/>
      <c r="I27" s="61" t="s">
        <v>92</v>
      </c>
      <c r="J27" s="73"/>
      <c r="K27" s="109"/>
      <c r="L27" s="109"/>
      <c r="M27" s="109"/>
      <c r="N27" s="109"/>
      <c r="O27" s="109"/>
      <c r="P27" s="109"/>
    </row>
    <row r="28" spans="1:24" ht="42" customHeight="1" x14ac:dyDescent="0.2">
      <c r="A28" s="109"/>
      <c r="B28" s="109"/>
      <c r="C28" s="109"/>
      <c r="D28" s="109"/>
      <c r="E28" s="111" t="s">
        <v>29</v>
      </c>
      <c r="F28" s="107"/>
      <c r="G28" s="106"/>
      <c r="H28" s="106"/>
      <c r="I28" s="62" t="s">
        <v>91</v>
      </c>
      <c r="J28" s="76"/>
      <c r="K28" s="109"/>
      <c r="L28" s="109"/>
      <c r="M28" s="109"/>
      <c r="N28" s="109"/>
      <c r="O28" s="109"/>
      <c r="P28" s="109"/>
    </row>
    <row r="29" spans="1:24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24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24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24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x14ac:dyDescent="0.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1:16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x14ac:dyDescent="0.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</row>
    <row r="49" spans="1:16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16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1:16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16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1:16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  <row r="56" spans="1:16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:16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</sheetData>
  <autoFilter ref="J10:J20"/>
  <customSheetViews>
    <customSheetView guid="{CE29130D-F54B-4517-B637-01D908CB90D3}" scale="110" showGridLines="0" zeroValues="0" showAutoFilter="1" hiddenRows="1" hiddenColumns="1" showRuler="0">
      <pane xSplit="22" ySplit="10" topLeftCell="X11" activePane="bottomRight" state="frozen"/>
      <selection pane="bottomRight" activeCell="I8" sqref="I8"/>
      <pageMargins left="0.4" right="0.4" top="0.5" bottom="0.5" header="0.5" footer="0.5"/>
      <printOptions horizontalCentered="1"/>
      <pageSetup paperSize="9" orientation="portrait" verticalDpi="1200" r:id="rId1"/>
      <headerFooter alignWithMargins="0"/>
      <autoFilter ref="B1"/>
    </customSheetView>
  </customSheetViews>
  <mergeCells count="5">
    <mergeCell ref="E2:G2"/>
    <mergeCell ref="E3:G3"/>
    <mergeCell ref="E4:G4"/>
    <mergeCell ref="I4:J4"/>
    <mergeCell ref="I3:J3"/>
  </mergeCells>
  <phoneticPr fontId="0" type="noConversion"/>
  <dataValidations count="1">
    <dataValidation type="list" allowBlank="1" showInputMessage="1" showErrorMessage="1" sqref="I8">
      <formula1>$K$1:$K$12</formula1>
    </dataValidation>
  </dataValidations>
  <printOptions horizontalCentered="1"/>
  <pageMargins left="0.4" right="0.4" top="0.5" bottom="0.5" header="0.5" footer="0.5"/>
  <pageSetup paperSize="9" orientation="portrait" verticalDpi="1200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Q57"/>
  <sheetViews>
    <sheetView showGridLines="0" showZeros="0" workbookViewId="0">
      <pane xSplit="11" ySplit="10" topLeftCell="L11" activePane="bottomRight" state="frozen"/>
      <selection pane="topRight" activeCell="I1" sqref="I1"/>
      <selection pane="bottomLeft" activeCell="A11" sqref="A11"/>
      <selection pane="bottomRight" activeCell="F1" sqref="F1"/>
    </sheetView>
  </sheetViews>
  <sheetFormatPr defaultRowHeight="12.75" x14ac:dyDescent="0.2"/>
  <cols>
    <col min="1" max="1" width="1.140625" customWidth="1"/>
    <col min="2" max="2" width="7.28515625" hidden="1" customWidth="1"/>
    <col min="3" max="3" width="3.140625" hidden="1" customWidth="1"/>
    <col min="4" max="4" width="3.5703125" hidden="1" customWidth="1"/>
    <col min="5" max="5" width="5.140625" customWidth="1"/>
    <col min="6" max="6" width="19.7109375" customWidth="1"/>
    <col min="7" max="7" width="14.7109375" customWidth="1"/>
    <col min="8" max="10" width="12.7109375" customWidth="1"/>
    <col min="11" max="11" width="14.7109375" customWidth="1"/>
    <col min="13" max="13" width="11.5703125" customWidth="1"/>
    <col min="14" max="14" width="0.140625" hidden="1" customWidth="1"/>
    <col min="15" max="15" width="9.140625" hidden="1" customWidth="1"/>
  </cols>
  <sheetData>
    <row r="1" spans="1:17" ht="15" customHeight="1" x14ac:dyDescent="0.2">
      <c r="A1" s="5"/>
      <c r="B1" s="5"/>
      <c r="C1" s="5"/>
      <c r="D1" s="5"/>
      <c r="E1" s="5"/>
      <c r="F1" s="161" t="s">
        <v>14</v>
      </c>
      <c r="G1" s="5"/>
      <c r="H1" s="5"/>
      <c r="I1" s="4"/>
      <c r="J1" s="4"/>
      <c r="K1" s="4"/>
      <c r="L1" s="10"/>
      <c r="M1" s="4"/>
      <c r="N1" s="12">
        <v>5</v>
      </c>
      <c r="O1" s="5"/>
      <c r="P1" s="10"/>
      <c r="Q1" s="10"/>
    </row>
    <row r="2" spans="1:17" ht="18" customHeight="1" x14ac:dyDescent="0.2">
      <c r="A2" s="5"/>
      <c r="B2" s="5"/>
      <c r="C2" s="5"/>
      <c r="D2" s="5"/>
      <c r="E2" s="334" t="str">
        <f>Shenime!D3</f>
        <v>ASTRONIK</v>
      </c>
      <c r="F2" s="335"/>
      <c r="G2" s="336"/>
      <c r="H2" s="5"/>
      <c r="I2" s="5"/>
      <c r="J2" s="5"/>
      <c r="K2" s="5"/>
      <c r="L2" s="10"/>
      <c r="M2" s="4"/>
      <c r="N2" s="5" t="s">
        <v>24</v>
      </c>
      <c r="O2" s="5"/>
      <c r="P2" s="10"/>
      <c r="Q2" s="10"/>
    </row>
    <row r="3" spans="1:17" ht="14.25" customHeight="1" x14ac:dyDescent="0.2">
      <c r="A3" s="5"/>
      <c r="B3" s="5"/>
      <c r="C3" s="5"/>
      <c r="D3" s="5"/>
      <c r="E3" s="337" t="str">
        <f>Shenime!D4</f>
        <v>80258348/600456645</v>
      </c>
      <c r="F3" s="338"/>
      <c r="G3" s="339"/>
      <c r="H3" s="5"/>
      <c r="I3" s="5"/>
      <c r="J3" s="5"/>
      <c r="K3" s="5"/>
      <c r="L3" s="10"/>
      <c r="M3" s="4"/>
      <c r="N3" s="5" t="s">
        <v>25</v>
      </c>
      <c r="O3" s="5"/>
      <c r="P3" s="10"/>
      <c r="Q3" s="10"/>
    </row>
    <row r="4" spans="1:17" ht="14.25" customHeight="1" x14ac:dyDescent="0.2">
      <c r="A4" s="5"/>
      <c r="B4" s="5"/>
      <c r="C4" s="5"/>
      <c r="D4" s="5"/>
      <c r="E4" s="340" t="str">
        <f>Shenime!D6</f>
        <v>MALISHEVË</v>
      </c>
      <c r="F4" s="338"/>
      <c r="G4" s="339"/>
      <c r="H4" s="5"/>
      <c r="I4" s="5"/>
      <c r="J4" s="5"/>
      <c r="K4" s="5"/>
      <c r="L4" s="10"/>
      <c r="M4" s="4"/>
      <c r="N4" s="5" t="s">
        <v>26</v>
      </c>
      <c r="O4" s="5"/>
      <c r="P4" s="10"/>
      <c r="Q4" s="10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0"/>
      <c r="M5" s="4"/>
      <c r="N5" s="5" t="s">
        <v>27</v>
      </c>
      <c r="O5" s="5"/>
      <c r="P5" s="10"/>
      <c r="Q5" s="10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0"/>
      <c r="M6" s="4"/>
      <c r="N6" s="5" t="s">
        <v>28</v>
      </c>
      <c r="O6" s="5"/>
      <c r="P6" s="10"/>
      <c r="Q6" s="10"/>
    </row>
    <row r="7" spans="1:17" x14ac:dyDescent="0.2">
      <c r="A7" s="5"/>
      <c r="B7" s="5"/>
      <c r="C7" s="5"/>
      <c r="D7" s="5"/>
      <c r="E7" s="5" t="s">
        <v>20</v>
      </c>
      <c r="F7" s="5"/>
      <c r="G7" s="11" t="str">
        <f>IF(N1=1,"TM-1",IF(N1=2,"TM-2",IF(N1=3,"TM-3",IF(N1=4,"TM-4",IF(N1=5,"TOTALI",0)))))</f>
        <v>TOTALI</v>
      </c>
      <c r="H7" s="11">
        <f>Shenime!H7</f>
        <v>2019</v>
      </c>
      <c r="I7" s="5"/>
      <c r="J7" s="5"/>
      <c r="K7" s="5"/>
      <c r="L7" s="10"/>
      <c r="M7" s="4"/>
      <c r="N7" s="5"/>
      <c r="O7" s="5"/>
      <c r="P7" s="10"/>
      <c r="Q7" s="10"/>
    </row>
    <row r="8" spans="1:17" ht="1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0"/>
      <c r="M8" s="5"/>
      <c r="N8" s="5"/>
      <c r="O8" s="5"/>
      <c r="P8" s="10"/>
      <c r="Q8" s="10"/>
    </row>
    <row r="9" spans="1:17" ht="1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0"/>
      <c r="M9" s="10"/>
      <c r="N9" s="10"/>
      <c r="O9" s="10"/>
      <c r="P9" s="10"/>
      <c r="Q9" s="10"/>
    </row>
    <row r="10" spans="1:17" ht="27" customHeight="1" x14ac:dyDescent="0.2">
      <c r="A10" s="5"/>
      <c r="B10" s="5"/>
      <c r="C10" s="5"/>
      <c r="D10" s="5"/>
      <c r="E10" s="66" t="s">
        <v>0</v>
      </c>
      <c r="F10" s="66" t="s">
        <v>4</v>
      </c>
      <c r="G10" s="66" t="s">
        <v>21</v>
      </c>
      <c r="H10" s="66" t="s">
        <v>22</v>
      </c>
      <c r="I10" s="66" t="s">
        <v>11</v>
      </c>
      <c r="J10" s="66" t="s">
        <v>13</v>
      </c>
      <c r="K10" s="66" t="s">
        <v>23</v>
      </c>
      <c r="L10" s="10"/>
      <c r="M10" s="10"/>
      <c r="N10" s="10"/>
      <c r="O10" s="10"/>
      <c r="P10" s="10"/>
      <c r="Q10" s="10"/>
    </row>
    <row r="11" spans="1:17" ht="16.5" customHeight="1" x14ac:dyDescent="0.2">
      <c r="A11" s="5"/>
      <c r="B11" s="124">
        <v>1</v>
      </c>
      <c r="C11" s="124">
        <f t="shared" ref="C11:C20" si="0">IF(H11=0,0,1)</f>
        <v>1</v>
      </c>
      <c r="D11" s="124">
        <f t="shared" ref="D11:D20" si="1">D10+C11</f>
        <v>1</v>
      </c>
      <c r="E11" s="231">
        <f t="shared" ref="E11:E20" si="2">IF(C11=0,0,D11)</f>
        <v>1</v>
      </c>
      <c r="F11" s="239" t="str">
        <f>Shenime!C11</f>
        <v>Albulena Morina</v>
      </c>
      <c r="G11" s="233" t="str">
        <f>Shenime!D11</f>
        <v>1013459742</v>
      </c>
      <c r="H11" s="234">
        <f>IF($N$1=1,1,0)*(Janar!F11+Shkurt!F11+Mars!F11)+IF($N$1=2,1,0)*(Prill!F11+Maj!F11+Qershor!F11)+IF($N$1=3,1,0)*(Korrik!F11+Gusht!F11+Shtator!F11)+IF($N$1=4,1,0)*(Tetor!F11+Nentor!F11+Dhjetor!F11)+IF($N$1=5,1,0)*(Janar!F11+Shkurt!F11+Mars!F11+Prill!F11+Maj!F11+Qershor!F11+Korrik!F11+Gusht!F11+Shtator!F11+Tetor!F11+Nentor!F11+Dhjetor!F11)</f>
        <v>220</v>
      </c>
      <c r="I11" s="234">
        <f>IF($N$1=1,1,0)*(Janar!J11+Shkurt!J11+Mars!J11)+IF($N$1=2,1,0)*(Prill!J11+Maj!J11+Qershor!J11)+IF($N$1=3,1,0)*(Korrik!J11+Gusht!J11+Shtator!J11)+IF($N$1=4,1,0)*(Tetor!J11+Nentor!J11+Dhjetor!J11)+IF($N$1=5,1,0)*(Janar!J11+Shkurt!J11+Mars!J11+Prill!J11+Maj!J11+Qershor!J11+Korrik!J11+Gusht!J11+Shtator!J11+Tetor!J11+Nentor!J11+Dhjetor!J11)</f>
        <v>11</v>
      </c>
      <c r="J11" s="234">
        <f>IF($N$1=1,1,0)*(Janar!K11+Shkurt!K11+Mars!K11)+IF($N$1=2,1,0)*(Prill!K11+Maj!K11+Qershor!K11)+IF($N$1=3,1,0)*(Korrik!K11+Gusht!K11+Shtator!K11)+IF($N$1=4,1,0)*(Tetor!K11+Nentor!K11+Dhjetor!K11)+IF($N$1=5,1,0)*(Janar!K11+Shkurt!K11+Mars!K11+Prill!K11+Maj!K11+Qershor!K11+Korrik!K11+Gusht!K11+Shtator!K11+Tetor!K11+Nentor!K11+Dhjetor!K11)</f>
        <v>11</v>
      </c>
      <c r="K11" s="234">
        <f>IF($N$1=1,1,0)*(Janar!L11+Shkurt!L11+Mars!L11)+IF($N$1=2,1,0)*(Prill!L11+Maj!L11+Qershor!L11)+IF($N$1=3,1,0)*(Korrik!L11+Gusht!L11+Shtator!L11)+IF($N$1=4,1,0)*(Tetor!L11+Nentor!L11+Dhjetor!L11)+IF($N$1=5,1,0)*(Janar!L11+Shkurt!L11+Mars!L11+Prill!L11+Maj!L11+Qershor!L11+Korrik!L11+Gusht!L11+Shtator!L11+Tetor!L11+Nentor!L11+Dhjetor!L11)</f>
        <v>22</v>
      </c>
      <c r="L11" s="10"/>
      <c r="M11" s="10"/>
      <c r="N11" s="10"/>
      <c r="O11" s="10"/>
      <c r="P11" s="10"/>
      <c r="Q11" s="10"/>
    </row>
    <row r="12" spans="1:17" ht="16.5" customHeight="1" x14ac:dyDescent="0.2">
      <c r="A12" s="5"/>
      <c r="B12" s="124">
        <v>2</v>
      </c>
      <c r="C12" s="124">
        <f t="shared" si="0"/>
        <v>1</v>
      </c>
      <c r="D12" s="124">
        <f t="shared" si="1"/>
        <v>2</v>
      </c>
      <c r="E12" s="231">
        <f t="shared" si="2"/>
        <v>2</v>
      </c>
      <c r="F12" s="239">
        <f>Shenime!C12</f>
        <v>0</v>
      </c>
      <c r="G12" s="233">
        <f>Shenime!D12</f>
        <v>0</v>
      </c>
      <c r="H12" s="234">
        <f>IF($N$1=1,1,0)*(Janar!F12+Shkurt!F12+Mars!F12)+IF($N$1=2,1,0)*(Prill!F12+Maj!F12+Qershor!F12)+IF($N$1=3,1,0)*(Korrik!F12+Gusht!F12+Shtator!F12)+IF($N$1=4,1,0)*(Tetor!F12+Nentor!F12+Dhjetor!F12)+IF($N$1=5,1,0)*(Janar!F12+Shkurt!F12+Mars!F12+Prill!F12+Maj!F12+Qershor!F12+Korrik!F12+Gusht!F12+Shtator!F12+Tetor!F12+Nentor!F12+Dhjetor!F12)</f>
        <v>200</v>
      </c>
      <c r="I12" s="234">
        <f>IF($N$1=1,1,0)*(Janar!J12+Shkurt!J12+Mars!J12)+IF($N$1=2,1,0)*(Prill!J12+Maj!J12+Qershor!J12)+IF($N$1=3,1,0)*(Korrik!J12+Gusht!J12+Shtator!J12)+IF($N$1=4,1,0)*(Tetor!J12+Nentor!J12+Dhjetor!J12)+IF($N$1=5,1,0)*(Janar!J12+Shkurt!J12+Mars!J12+Prill!J12+Maj!J12+Qershor!J12+Korrik!J12+Gusht!J12+Shtator!J12+Tetor!J12+Nentor!J12+Dhjetor!J12)</f>
        <v>10</v>
      </c>
      <c r="J12" s="234">
        <f>IF($N$1=1,1,0)*(Janar!K12+Shkurt!K12+Mars!K12)+IF($N$1=2,1,0)*(Prill!K12+Maj!K12+Qershor!K12)+IF($N$1=3,1,0)*(Korrik!K12+Gusht!K12+Shtator!K12)+IF($N$1=4,1,0)*(Tetor!K12+Nentor!K12+Dhjetor!K12)+IF($N$1=5,1,0)*(Janar!K12+Shkurt!K12+Mars!K12+Prill!K12+Maj!K12+Qershor!K12+Korrik!K12+Gusht!K12+Shtator!K12+Tetor!K12+Nentor!K12+Dhjetor!K12)</f>
        <v>10</v>
      </c>
      <c r="K12" s="234">
        <f>IF($N$1=1,1,0)*(Janar!L12+Shkurt!L12+Mars!L12)+IF($N$1=2,1,0)*(Prill!L12+Maj!L12+Qershor!L12)+IF($N$1=3,1,0)*(Korrik!L12+Gusht!L12+Shtator!L12)+IF($N$1=4,1,0)*(Tetor!L12+Nentor!L12+Dhjetor!L12)+IF($N$1=5,1,0)*(Janar!L12+Shkurt!L12+Mars!L12+Prill!L12+Maj!L12+Qershor!L12+Korrik!L12+Gusht!L12+Shtator!L12+Tetor!L12+Nentor!L12+Dhjetor!L12)</f>
        <v>20</v>
      </c>
      <c r="L12" s="70"/>
      <c r="M12" s="10"/>
      <c r="N12" s="10"/>
      <c r="O12" s="10"/>
      <c r="P12" s="10"/>
      <c r="Q12" s="10"/>
    </row>
    <row r="13" spans="1:17" ht="16.5" customHeight="1" x14ac:dyDescent="0.2">
      <c r="A13" s="5"/>
      <c r="B13" s="124">
        <v>3</v>
      </c>
      <c r="C13" s="124">
        <f t="shared" si="0"/>
        <v>1</v>
      </c>
      <c r="D13" s="124">
        <f t="shared" si="1"/>
        <v>3</v>
      </c>
      <c r="E13" s="231">
        <f t="shared" si="2"/>
        <v>3</v>
      </c>
      <c r="F13" s="239">
        <f>Shenime!C13</f>
        <v>0</v>
      </c>
      <c r="G13" s="233">
        <f>Shenime!D13</f>
        <v>0</v>
      </c>
      <c r="H13" s="234">
        <f>IF($N$1=1,1,0)*(Janar!F13+Shkurt!F13+Mars!F13)+IF($N$1=2,1,0)*(Prill!F13+Maj!F13+Qershor!F13)+IF($N$1=3,1,0)*(Korrik!F13+Gusht!F13+Shtator!F13)+IF($N$1=4,1,0)*(Tetor!F13+Nentor!F13+Dhjetor!F13)+IF($N$1=5,1,0)*(Janar!F13+Shkurt!F13+Mars!F13+Prill!F13+Maj!F13+Qershor!F13+Korrik!F13+Gusht!F13+Shtator!F13+Tetor!F13+Nentor!F13+Dhjetor!F13)</f>
        <v>190</v>
      </c>
      <c r="I13" s="234">
        <f>IF($N$1=1,1,0)*(Janar!J13+Shkurt!J13+Mars!J13)+IF($N$1=2,1,0)*(Prill!J13+Maj!J13+Qershor!J13)+IF($N$1=3,1,0)*(Korrik!J13+Gusht!J13+Shtator!J13)+IF($N$1=4,1,0)*(Tetor!J13+Nentor!J13+Dhjetor!J13)+IF($N$1=5,1,0)*(Janar!J13+Shkurt!J13+Mars!J13+Prill!J13+Maj!J13+Qershor!J13+Korrik!J13+Gusht!J13+Shtator!J13+Tetor!J13+Nentor!J13+Dhjetor!J13)</f>
        <v>9.5</v>
      </c>
      <c r="J13" s="234">
        <f>IF($N$1=1,1,0)*(Janar!K13+Shkurt!K13+Mars!K13)+IF($N$1=2,1,0)*(Prill!K13+Maj!K13+Qershor!K13)+IF($N$1=3,1,0)*(Korrik!K13+Gusht!K13+Shtator!K13)+IF($N$1=4,1,0)*(Tetor!K13+Nentor!K13+Dhjetor!K13)+IF($N$1=5,1,0)*(Janar!K13+Shkurt!K13+Mars!K13+Prill!K13+Maj!K13+Qershor!K13+Korrik!K13+Gusht!K13+Shtator!K13+Tetor!K13+Nentor!K13+Dhjetor!K13)</f>
        <v>9.5</v>
      </c>
      <c r="K13" s="234">
        <f>IF($N$1=1,1,0)*(Janar!L13+Shkurt!L13+Mars!L13)+IF($N$1=2,1,0)*(Prill!L13+Maj!L13+Qershor!L13)+IF($N$1=3,1,0)*(Korrik!L13+Gusht!L13+Shtator!L13)+IF($N$1=4,1,0)*(Tetor!L13+Nentor!L13+Dhjetor!L13)+IF($N$1=5,1,0)*(Janar!L13+Shkurt!L13+Mars!L13+Prill!L13+Maj!L13+Qershor!L13+Korrik!L13+Gusht!L13+Shtator!L13+Tetor!L13+Nentor!L13+Dhjetor!L13)</f>
        <v>19</v>
      </c>
      <c r="L13" s="70"/>
      <c r="M13" s="10"/>
      <c r="N13" s="10"/>
      <c r="O13" s="10"/>
      <c r="P13" s="10"/>
      <c r="Q13" s="10"/>
    </row>
    <row r="14" spans="1:17" ht="16.5" customHeight="1" x14ac:dyDescent="0.2">
      <c r="A14" s="5"/>
      <c r="B14" s="124">
        <v>4</v>
      </c>
      <c r="C14" s="124">
        <f t="shared" si="0"/>
        <v>1</v>
      </c>
      <c r="D14" s="124">
        <f t="shared" si="1"/>
        <v>4</v>
      </c>
      <c r="E14" s="231">
        <f t="shared" si="2"/>
        <v>4</v>
      </c>
      <c r="F14" s="239">
        <f>Shenime!C14</f>
        <v>0</v>
      </c>
      <c r="G14" s="233">
        <f>Shenime!D14</f>
        <v>0</v>
      </c>
      <c r="H14" s="234">
        <f>IF($N$1=1,1,0)*(Janar!F14+Shkurt!F14+Mars!F14)+IF($N$1=2,1,0)*(Prill!F14+Maj!F14+Qershor!F14)+IF($N$1=3,1,0)*(Korrik!F14+Gusht!F14+Shtator!F14)+IF($N$1=4,1,0)*(Tetor!F14+Nentor!F14+Dhjetor!F14)+IF($N$1=5,1,0)*(Janar!F14+Shkurt!F14+Mars!F14+Prill!F14+Maj!F14+Qershor!F14+Korrik!F14+Gusht!F14+Shtator!F14+Tetor!F14+Nentor!F14+Dhjetor!F14)</f>
        <v>150</v>
      </c>
      <c r="I14" s="234">
        <f>IF($N$1=1,1,0)*(Janar!J14+Shkurt!J14+Mars!J14)+IF($N$1=2,1,0)*(Prill!J14+Maj!J14+Qershor!J14)+IF($N$1=3,1,0)*(Korrik!J14+Gusht!J14+Shtator!J14)+IF($N$1=4,1,0)*(Tetor!J14+Nentor!J14+Dhjetor!J14)+IF($N$1=5,1,0)*(Janar!J14+Shkurt!J14+Mars!J14+Prill!J14+Maj!J14+Qershor!J14+Korrik!J14+Gusht!J14+Shtator!J14+Tetor!J14+Nentor!J14+Dhjetor!J14)</f>
        <v>7.5</v>
      </c>
      <c r="J14" s="234">
        <f>IF($N$1=1,1,0)*(Janar!K14+Shkurt!K14+Mars!K14)+IF($N$1=2,1,0)*(Prill!K14+Maj!K14+Qershor!K14)+IF($N$1=3,1,0)*(Korrik!K14+Gusht!K14+Shtator!K14)+IF($N$1=4,1,0)*(Tetor!K14+Nentor!K14+Dhjetor!K14)+IF($N$1=5,1,0)*(Janar!K14+Shkurt!K14+Mars!K14+Prill!K14+Maj!K14+Qershor!K14+Korrik!K14+Gusht!K14+Shtator!K14+Tetor!K14+Nentor!K14+Dhjetor!K14)</f>
        <v>7.5</v>
      </c>
      <c r="K14" s="234">
        <f>IF($N$1=1,1,0)*(Janar!L14+Shkurt!L14+Mars!L14)+IF($N$1=2,1,0)*(Prill!L14+Maj!L14+Qershor!L14)+IF($N$1=3,1,0)*(Korrik!L14+Gusht!L14+Shtator!L14)+IF($N$1=4,1,0)*(Tetor!L14+Nentor!L14+Dhjetor!L14)+IF($N$1=5,1,0)*(Janar!L14+Shkurt!L14+Mars!L14+Prill!L14+Maj!L14+Qershor!L14+Korrik!L14+Gusht!L14+Shtator!L14+Tetor!L14+Nentor!L14+Dhjetor!L14)</f>
        <v>15</v>
      </c>
      <c r="L14" s="70"/>
      <c r="M14" s="10"/>
      <c r="N14" s="10"/>
      <c r="O14" s="10"/>
      <c r="P14" s="10"/>
      <c r="Q14" s="10"/>
    </row>
    <row r="15" spans="1:17" ht="16.5" customHeight="1" x14ac:dyDescent="0.2">
      <c r="A15" s="5"/>
      <c r="B15" s="124">
        <v>5</v>
      </c>
      <c r="C15" s="124">
        <f t="shared" si="0"/>
        <v>1</v>
      </c>
      <c r="D15" s="124">
        <f t="shared" si="1"/>
        <v>5</v>
      </c>
      <c r="E15" s="231">
        <f t="shared" si="2"/>
        <v>5</v>
      </c>
      <c r="F15" s="239">
        <f>Shenime!C15</f>
        <v>0</v>
      </c>
      <c r="G15" s="233">
        <f>Shenime!D15</f>
        <v>0</v>
      </c>
      <c r="H15" s="234">
        <f>IF($N$1=1,1,0)*(Janar!F15+Shkurt!F15+Mars!F15)+IF($N$1=2,1,0)*(Prill!F15+Maj!F15+Qershor!F15)+IF($N$1=3,1,0)*(Korrik!F15+Gusht!F15+Shtator!F15)+IF($N$1=4,1,0)*(Tetor!F15+Nentor!F15+Dhjetor!F15)+IF($N$1=5,1,0)*(Janar!F15+Shkurt!F15+Mars!F15+Prill!F15+Maj!F15+Qershor!F15+Korrik!F15+Gusht!F15+Shtator!F15+Tetor!F15+Nentor!F15+Dhjetor!F15)</f>
        <v>250</v>
      </c>
      <c r="I15" s="234">
        <f>IF($N$1=1,1,0)*(Janar!J15+Shkurt!J15+Mars!J15)+IF($N$1=2,1,0)*(Prill!J15+Maj!J15+Qershor!J15)+IF($N$1=3,1,0)*(Korrik!J15+Gusht!J15+Shtator!J15)+IF($N$1=4,1,0)*(Tetor!J15+Nentor!J15+Dhjetor!J15)+IF($N$1=5,1,0)*(Janar!J15+Shkurt!J15+Mars!J15+Prill!J15+Maj!J15+Qershor!J15+Korrik!J15+Gusht!J15+Shtator!J15+Tetor!J15+Nentor!J15+Dhjetor!J15)</f>
        <v>12.5</v>
      </c>
      <c r="J15" s="234">
        <f>IF($N$1=1,1,0)*(Janar!K15+Shkurt!K15+Mars!K15)+IF($N$1=2,1,0)*(Prill!K15+Maj!K15+Qershor!K15)+IF($N$1=3,1,0)*(Korrik!K15+Gusht!K15+Shtator!K15)+IF($N$1=4,1,0)*(Tetor!K15+Nentor!K15+Dhjetor!K15)+IF($N$1=5,1,0)*(Janar!K15+Shkurt!K15+Mars!K15+Prill!K15+Maj!K15+Qershor!K15+Korrik!K15+Gusht!K15+Shtator!K15+Tetor!K15+Nentor!K15+Dhjetor!K15)</f>
        <v>12.5</v>
      </c>
      <c r="K15" s="234">
        <f>IF($N$1=1,1,0)*(Janar!L15+Shkurt!L15+Mars!L15)+IF($N$1=2,1,0)*(Prill!L15+Maj!L15+Qershor!L15)+IF($N$1=3,1,0)*(Korrik!L15+Gusht!L15+Shtator!L15)+IF($N$1=4,1,0)*(Tetor!L15+Nentor!L15+Dhjetor!L15)+IF($N$1=5,1,0)*(Janar!L15+Shkurt!L15+Mars!L15+Prill!L15+Maj!L15+Qershor!L15+Korrik!L15+Gusht!L15+Shtator!L15+Tetor!L15+Nentor!L15+Dhjetor!L15)</f>
        <v>25</v>
      </c>
      <c r="L15" s="70"/>
      <c r="M15" s="10"/>
      <c r="N15" s="10"/>
      <c r="O15" s="10"/>
      <c r="P15" s="10"/>
      <c r="Q15" s="10"/>
    </row>
    <row r="16" spans="1:17" ht="16.5" customHeight="1" x14ac:dyDescent="0.2">
      <c r="A16" s="5"/>
      <c r="B16" s="124">
        <v>6</v>
      </c>
      <c r="C16" s="124">
        <f t="shared" si="0"/>
        <v>1</v>
      </c>
      <c r="D16" s="124">
        <f t="shared" si="1"/>
        <v>6</v>
      </c>
      <c r="E16" s="231">
        <f t="shared" si="2"/>
        <v>6</v>
      </c>
      <c r="F16" s="239" t="s">
        <v>251</v>
      </c>
      <c r="G16" s="233" t="s">
        <v>252</v>
      </c>
      <c r="H16" s="234">
        <f>IF($N$1=1,1,0)*(Janar!F16+Shkurt!F16+Mars!F16)+IF($N$1=2,1,0)*(Prill!F16+Maj!F16+Qershor!F16)+IF($N$1=3,1,0)*(Korrik!F16+Gusht!F16+Shtator!F16)+IF($N$1=4,1,0)*(Tetor!F16+Nentor!F16+Dhjetor!F16)+IF($N$1=5,1,0)*(Janar!F16+Shkurt!F16+Mars!F16+Prill!F16+Maj!F16+Qershor!F16+Korrik!F16+Gusht!F16+Shtator!F16+Tetor!F16+Nentor!F16+Dhjetor!F16)</f>
        <v>170</v>
      </c>
      <c r="I16" s="234">
        <f>IF($N$1=1,1,0)*(Janar!J16+Shkurt!J16+Mars!J16)+IF($N$1=2,1,0)*(Prill!J16+Maj!J16+Qershor!J16)+IF($N$1=3,1,0)*(Korrik!J16+Gusht!J16+Shtator!J16)+IF($N$1=4,1,0)*(Tetor!J16+Nentor!J16+Dhjetor!J16)+IF($N$1=5,1,0)*(Janar!J16+Shkurt!J16+Mars!J16+Prill!J16+Maj!J16+Qershor!J16+Korrik!J16+Gusht!J16+Shtator!J16+Tetor!J16+Nentor!J16+Dhjetor!J16)</f>
        <v>8.5</v>
      </c>
      <c r="J16" s="234">
        <f>IF($N$1=1,1,0)*(Janar!K16+Shkurt!K16+Mars!K16)+IF($N$1=2,1,0)*(Prill!K16+Maj!K16+Qershor!K16)+IF($N$1=3,1,0)*(Korrik!K16+Gusht!K16+Shtator!K16)+IF($N$1=4,1,0)*(Tetor!K16+Nentor!K16+Dhjetor!K16)+IF($N$1=5,1,0)*(Janar!K16+Shkurt!K16+Mars!K16+Prill!K16+Maj!K16+Qershor!K16+Korrik!K16+Gusht!K16+Shtator!K16+Tetor!K16+Nentor!K16+Dhjetor!K16)</f>
        <v>8.5</v>
      </c>
      <c r="K16" s="234">
        <f>IF($N$1=1,1,0)*(Janar!L16+Shkurt!L16+Mars!L16)+IF($N$1=2,1,0)*(Prill!L16+Maj!L16+Qershor!L16)+IF($N$1=3,1,0)*(Korrik!L16+Gusht!L16+Shtator!L16)+IF($N$1=4,1,0)*(Tetor!L16+Nentor!L16+Dhjetor!L16)+IF($N$1=5,1,0)*(Janar!L16+Shkurt!L16+Mars!L16+Prill!L16+Maj!L16+Qershor!L16+Korrik!L16+Gusht!L16+Shtator!L16+Tetor!L16+Nentor!L16+Dhjetor!L16)</f>
        <v>17</v>
      </c>
      <c r="L16" s="70"/>
      <c r="M16" s="10"/>
      <c r="N16" s="10"/>
      <c r="O16" s="10"/>
      <c r="P16" s="10"/>
      <c r="Q16" s="10"/>
    </row>
    <row r="17" spans="1:17" ht="16.5" customHeight="1" x14ac:dyDescent="0.2">
      <c r="A17" s="5"/>
      <c r="B17" s="124">
        <v>7</v>
      </c>
      <c r="C17" s="124">
        <f t="shared" si="0"/>
        <v>1</v>
      </c>
      <c r="D17" s="124">
        <f t="shared" si="1"/>
        <v>7</v>
      </c>
      <c r="E17" s="231">
        <f t="shared" si="2"/>
        <v>7</v>
      </c>
      <c r="F17" s="239">
        <f>Shenime!C17</f>
        <v>0</v>
      </c>
      <c r="G17" s="233">
        <f>Shenime!D17</f>
        <v>0</v>
      </c>
      <c r="H17" s="234">
        <f>IF($N$1=1,1,0)*(Janar!F17+Shkurt!F17+Mars!F17)+IF($N$1=2,1,0)*(Prill!F17+Maj!F17+Qershor!F17)+IF($N$1=3,1,0)*(Korrik!F17+Gusht!F17+Shtator!F17)+IF($N$1=4,1,0)*(Tetor!F17+Nentor!F17+Dhjetor!F17)+IF($N$1=5,1,0)*(Janar!F17+Shkurt!F17+Mars!F17+Prill!F17+Maj!F17+Qershor!F17+Korrik!F17+Gusht!F17+Shtator!F17+Tetor!F17+Nentor!F17+Dhjetor!F17)</f>
        <v>200</v>
      </c>
      <c r="I17" s="234">
        <f>IF($N$1=1,1,0)*(Janar!J17+Shkurt!J17+Mars!J17)+IF($N$1=2,1,0)*(Prill!J17+Maj!J17+Qershor!J17)+IF($N$1=3,1,0)*(Korrik!J17+Gusht!J17+Shtator!J17)+IF($N$1=4,1,0)*(Tetor!J17+Nentor!J17+Dhjetor!J17)+IF($N$1=5,1,0)*(Janar!J17+Shkurt!J17+Mars!J17+Prill!J17+Maj!J17+Qershor!J17+Korrik!J17+Gusht!J17+Shtator!J17+Tetor!J17+Nentor!J17+Dhjetor!J17)</f>
        <v>10</v>
      </c>
      <c r="J17" s="234">
        <f>IF($N$1=1,1,0)*(Janar!K17+Shkurt!K17+Mars!K17)+IF($N$1=2,1,0)*(Prill!K17+Maj!K17+Qershor!K17)+IF($N$1=3,1,0)*(Korrik!K17+Gusht!K17+Shtator!K17)+IF($N$1=4,1,0)*(Tetor!K17+Nentor!K17+Dhjetor!K17)+IF($N$1=5,1,0)*(Janar!K17+Shkurt!K17+Mars!K17+Prill!K17+Maj!K17+Qershor!K17+Korrik!K17+Gusht!K17+Shtator!K17+Tetor!K17+Nentor!K17+Dhjetor!K17)</f>
        <v>10</v>
      </c>
      <c r="K17" s="234">
        <f>IF($N$1=1,1,0)*(Janar!L17+Shkurt!L17+Mars!L17)+IF($N$1=2,1,0)*(Prill!L17+Maj!L17+Qershor!L17)+IF($N$1=3,1,0)*(Korrik!L17+Gusht!L17+Shtator!L17)+IF($N$1=4,1,0)*(Tetor!L17+Nentor!L17+Dhjetor!L17)+IF($N$1=5,1,0)*(Janar!L17+Shkurt!L17+Mars!L17+Prill!L17+Maj!L17+Qershor!L17+Korrik!L17+Gusht!L17+Shtator!L17+Tetor!L17+Nentor!L17+Dhjetor!L17)</f>
        <v>20</v>
      </c>
      <c r="L17" s="70"/>
      <c r="M17" s="10"/>
      <c r="N17" s="10"/>
      <c r="O17" s="10"/>
      <c r="P17" s="10"/>
      <c r="Q17" s="10"/>
    </row>
    <row r="18" spans="1:17" ht="16.5" customHeight="1" x14ac:dyDescent="0.2">
      <c r="A18" s="5"/>
      <c r="B18" s="124">
        <v>8</v>
      </c>
      <c r="C18" s="124">
        <f t="shared" si="0"/>
        <v>1</v>
      </c>
      <c r="D18" s="124">
        <f t="shared" si="1"/>
        <v>8</v>
      </c>
      <c r="E18" s="231">
        <f t="shared" si="2"/>
        <v>8</v>
      </c>
      <c r="F18" s="239">
        <f>Shenime!C18</f>
        <v>0</v>
      </c>
      <c r="G18" s="233">
        <f>Shenime!D18</f>
        <v>0</v>
      </c>
      <c r="H18" s="234">
        <f>IF($N$1=1,1,0)*(Janar!F18+Shkurt!F18+Mars!F18)+IF($N$1=2,1,0)*(Prill!F18+Maj!F18+Qershor!F18)+IF($N$1=3,1,0)*(Korrik!F18+Gusht!F18+Shtator!F18)+IF($N$1=4,1,0)*(Tetor!F18+Nentor!F18+Dhjetor!F18)+IF($N$1=5,1,0)*(Janar!F18+Shkurt!F18+Mars!F18+Prill!F18+Maj!F18+Qershor!F18+Korrik!F18+Gusht!F18+Shtator!F18+Tetor!F18+Nentor!F18+Dhjetor!F18)</f>
        <v>100</v>
      </c>
      <c r="I18" s="234">
        <f>IF($N$1=1,1,0)*(Janar!J18+Shkurt!J18+Mars!J18)+IF($N$1=2,1,0)*(Prill!J18+Maj!J18+Qershor!J18)+IF($N$1=3,1,0)*(Korrik!J18+Gusht!J18+Shtator!J18)+IF($N$1=4,1,0)*(Tetor!J18+Nentor!J18+Dhjetor!J18)+IF($N$1=5,1,0)*(Janar!J18+Shkurt!J18+Mars!J18+Prill!J18+Maj!J18+Qershor!J18+Korrik!J18+Gusht!J18+Shtator!J18+Tetor!J18+Nentor!J18+Dhjetor!J18)</f>
        <v>5</v>
      </c>
      <c r="J18" s="234">
        <f>IF($N$1=1,1,0)*(Janar!K18+Shkurt!K18+Mars!K18)+IF($N$1=2,1,0)*(Prill!K18+Maj!K18+Qershor!K18)+IF($N$1=3,1,0)*(Korrik!K18+Gusht!K18+Shtator!K18)+IF($N$1=4,1,0)*(Tetor!K18+Nentor!K18+Dhjetor!K18)+IF($N$1=5,1,0)*(Janar!K18+Shkurt!K18+Mars!K18+Prill!K18+Maj!K18+Qershor!K18+Korrik!K18+Gusht!K18+Shtator!K18+Tetor!K18+Nentor!K18+Dhjetor!K18)</f>
        <v>5</v>
      </c>
      <c r="K18" s="234">
        <f>IF($N$1=1,1,0)*(Janar!L18+Shkurt!L18+Mars!L18)+IF($N$1=2,1,0)*(Prill!L18+Maj!L18+Qershor!L18)+IF($N$1=3,1,0)*(Korrik!L18+Gusht!L18+Shtator!L18)+IF($N$1=4,1,0)*(Tetor!L18+Nentor!L18+Dhjetor!L18)+IF($N$1=5,1,0)*(Janar!L18+Shkurt!L18+Mars!L18+Prill!L18+Maj!L18+Qershor!L18+Korrik!L18+Gusht!L18+Shtator!L18+Tetor!L18+Nentor!L18+Dhjetor!L18)</f>
        <v>10</v>
      </c>
      <c r="L18" s="70"/>
      <c r="M18" s="10"/>
      <c r="N18" s="10"/>
      <c r="O18" s="10"/>
      <c r="P18" s="10"/>
      <c r="Q18" s="10"/>
    </row>
    <row r="19" spans="1:17" ht="16.5" customHeight="1" x14ac:dyDescent="0.2">
      <c r="A19" s="5"/>
      <c r="B19" s="124">
        <v>9</v>
      </c>
      <c r="C19" s="124">
        <f t="shared" si="0"/>
        <v>1</v>
      </c>
      <c r="D19" s="124">
        <f t="shared" si="1"/>
        <v>9</v>
      </c>
      <c r="E19" s="231">
        <f t="shared" si="2"/>
        <v>9</v>
      </c>
      <c r="F19" s="239">
        <f>Shenime!C19</f>
        <v>0</v>
      </c>
      <c r="G19" s="233">
        <f>Shenime!D19</f>
        <v>0</v>
      </c>
      <c r="H19" s="234">
        <f>IF($N$1=1,1,0)*(Janar!F19+Shkurt!F19+Mars!F19)+IF($N$1=2,1,0)*(Prill!F19+Maj!F19+Qershor!F19)+IF($N$1=3,1,0)*(Korrik!F19+Gusht!F19+Shtator!F19)+IF($N$1=4,1,0)*(Tetor!F19+Nentor!F19+Dhjetor!F19)+IF($N$1=5,1,0)*(Janar!F19+Shkurt!F19+Mars!F19+Prill!F19+Maj!F19+Qershor!F19+Korrik!F19+Gusht!F19+Shtator!F19+Tetor!F19+Nentor!F19+Dhjetor!F19)</f>
        <v>200</v>
      </c>
      <c r="I19" s="234">
        <f>IF($N$1=1,1,0)*(Janar!J19+Shkurt!J19+Mars!J19)+IF($N$1=2,1,0)*(Prill!J19+Maj!J19+Qershor!J19)+IF($N$1=3,1,0)*(Korrik!J19+Gusht!J19+Shtator!J19)+IF($N$1=4,1,0)*(Tetor!J19+Nentor!J19+Dhjetor!J19)+IF($N$1=5,1,0)*(Janar!J19+Shkurt!J19+Mars!J19+Prill!J19+Maj!J19+Qershor!J19+Korrik!J19+Gusht!J19+Shtator!J19+Tetor!J19+Nentor!J19+Dhjetor!J19)</f>
        <v>10</v>
      </c>
      <c r="J19" s="234">
        <f>IF($N$1=1,1,0)*(Janar!K19+Shkurt!K19+Mars!K19)+IF($N$1=2,1,0)*(Prill!K19+Maj!K19+Qershor!K19)+IF($N$1=3,1,0)*(Korrik!K19+Gusht!K19+Shtator!K19)+IF($N$1=4,1,0)*(Tetor!K19+Nentor!K19+Dhjetor!K19)+IF($N$1=5,1,0)*(Janar!K19+Shkurt!K19+Mars!K19+Prill!K19+Maj!K19+Qershor!K19+Korrik!K19+Gusht!K19+Shtator!K19+Tetor!K19+Nentor!K19+Dhjetor!K19)</f>
        <v>10</v>
      </c>
      <c r="K19" s="234">
        <f>IF($N$1=1,1,0)*(Janar!L19+Shkurt!L19+Mars!L19)+IF($N$1=2,1,0)*(Prill!L19+Maj!L19+Qershor!L19)+IF($N$1=3,1,0)*(Korrik!L19+Gusht!L19+Shtator!L19)+IF($N$1=4,1,0)*(Tetor!L19+Nentor!L19+Dhjetor!L19)+IF($N$1=5,1,0)*(Janar!L19+Shkurt!L19+Mars!L19+Prill!L19+Maj!L19+Qershor!L19+Korrik!L19+Gusht!L19+Shtator!L19+Tetor!L19+Nentor!L19+Dhjetor!L19)</f>
        <v>20</v>
      </c>
      <c r="L19" s="70"/>
      <c r="M19" s="10"/>
      <c r="N19" s="10"/>
      <c r="O19" s="10"/>
      <c r="P19" s="10"/>
      <c r="Q19" s="10"/>
    </row>
    <row r="20" spans="1:17" ht="16.5" customHeight="1" x14ac:dyDescent="0.2">
      <c r="A20" s="5"/>
      <c r="B20" s="124">
        <v>10</v>
      </c>
      <c r="C20" s="124">
        <f t="shared" si="0"/>
        <v>0</v>
      </c>
      <c r="D20" s="124">
        <f t="shared" si="1"/>
        <v>9</v>
      </c>
      <c r="E20" s="231">
        <f t="shared" si="2"/>
        <v>0</v>
      </c>
      <c r="F20" s="239">
        <f>Shenime!C20</f>
        <v>0</v>
      </c>
      <c r="G20" s="233">
        <f>Shenime!D20</f>
        <v>0</v>
      </c>
      <c r="H20" s="234">
        <f>IF($N$1=1,1,0)*(Janar!F21+Shkurt!F20+Mars!F20)+IF($N$1=2,1,0)*(Prill!F20+Maj!F20+Qershor!F20)+IF($N$1=3,1,0)*(Korrik!F20+Gusht!F20+Shtator!F20)+IF($N$1=4,1,0)*(Tetor!F20+Nentor!F20+Dhjetor!F20)+IF($N$1=5,1,0)*(Janar!F21+Shkurt!F20+Mars!F20+Prill!F20+Maj!F20+Qershor!F20+Korrik!F20+Gusht!F20+Shtator!F20+Tetor!F20+Nentor!F20+Dhjetor!F20)</f>
        <v>0</v>
      </c>
      <c r="I20" s="234">
        <f>IF($N$1=1,1,0)*(Janar!J21+Shkurt!J20+Mars!J20)+IF($N$1=2,1,0)*(Prill!J20+Maj!J20+Qershor!J20)+IF($N$1=3,1,0)*(Korrik!J20+Gusht!J20+Shtator!J20)+IF($N$1=4,1,0)*(Tetor!J20+Nentor!J20+Dhjetor!J20)+IF($N$1=5,1,0)*(Janar!J21+Shkurt!J20+Mars!J20+Prill!J20+Maj!J20+Qershor!J20+Korrik!J20+Gusht!J20+Shtator!J20+Tetor!J20+Nentor!J20+Dhjetor!J20)</f>
        <v>0</v>
      </c>
      <c r="J20" s="234">
        <f>IF($N$1=1,1,0)*(Janar!K21+Shkurt!K20+Mars!K20)+IF($N$1=2,1,0)*(Prill!K20+Maj!K20+Qershor!K20)+IF($N$1=3,1,0)*(Korrik!K20+Gusht!K20+Shtator!K20)+IF($N$1=4,1,0)*(Tetor!K20+Nentor!K20+Dhjetor!K20)+IF($N$1=5,1,0)*(Janar!K21+Shkurt!K20+Mars!K20+Prill!K20+Maj!K20+Qershor!K20+Korrik!K20+Gusht!K20+Shtator!K20+Tetor!K20+Nentor!K20+Dhjetor!K20)</f>
        <v>0</v>
      </c>
      <c r="K20" s="234">
        <f>IF($N$1=1,1,0)*(Janar!L21+Shkurt!L20+Mars!L20)+IF($N$1=2,1,0)*(Prill!L20+Maj!L20+Qershor!L20)+IF($N$1=3,1,0)*(Korrik!L20+Gusht!L20+Shtator!L20)+IF($N$1=4,1,0)*(Tetor!L20+Nentor!L20+Dhjetor!L20)+IF($N$1=5,1,0)*(Janar!L21+Shkurt!L20+Mars!L20+Prill!L20+Maj!L20+Qershor!L20+Korrik!L20+Gusht!L20+Shtator!L20+Tetor!L20+Nentor!L20+Dhjetor!L20)</f>
        <v>0</v>
      </c>
      <c r="L20" s="70"/>
      <c r="M20" s="10"/>
      <c r="N20" s="10"/>
      <c r="O20" s="10"/>
      <c r="P20" s="10"/>
      <c r="Q20" s="10"/>
    </row>
    <row r="21" spans="1:17" ht="4.5" customHeight="1" x14ac:dyDescent="0.2">
      <c r="A21" s="5"/>
      <c r="B21" s="5"/>
      <c r="C21" s="5"/>
      <c r="D21" s="5"/>
      <c r="E21" s="163"/>
      <c r="F21" s="112"/>
      <c r="G21" s="112"/>
      <c r="H21" s="158"/>
      <c r="I21" s="158"/>
      <c r="J21" s="158"/>
      <c r="K21" s="158"/>
      <c r="L21" s="70"/>
      <c r="M21" s="10"/>
      <c r="N21" s="10"/>
      <c r="O21" s="10"/>
      <c r="P21" s="10"/>
      <c r="Q21" s="10"/>
    </row>
    <row r="22" spans="1:17" ht="18" customHeight="1" x14ac:dyDescent="0.2">
      <c r="A22" s="5"/>
      <c r="B22" s="5"/>
      <c r="C22" s="5"/>
      <c r="D22" s="5"/>
      <c r="E22" s="13"/>
      <c r="F22" s="13"/>
      <c r="G22" s="13"/>
      <c r="H22" s="237">
        <f>SUBTOTAL(9,H11:H20)</f>
        <v>1680</v>
      </c>
      <c r="I22" s="237">
        <f>SUBTOTAL(9,I11:I20)</f>
        <v>84</v>
      </c>
      <c r="J22" s="237">
        <f>SUBTOTAL(9,J11:J20)</f>
        <v>84</v>
      </c>
      <c r="K22" s="237">
        <f>SUBTOTAL(9,K11:K20)</f>
        <v>168</v>
      </c>
      <c r="L22" s="10"/>
      <c r="M22" s="10"/>
      <c r="N22" s="10"/>
      <c r="O22" s="10"/>
      <c r="P22" s="10"/>
      <c r="Q22" s="10"/>
    </row>
    <row r="23" spans="1:17" x14ac:dyDescent="0.2">
      <c r="A23" s="10"/>
      <c r="B23" s="10"/>
      <c r="C23" s="10"/>
      <c r="D23" s="10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</row>
    <row r="24" spans="1:17" x14ac:dyDescent="0.2">
      <c r="A24" s="10"/>
      <c r="B24" s="10"/>
      <c r="C24" s="10"/>
      <c r="D24" s="10"/>
      <c r="E24" s="71"/>
      <c r="F24" s="71"/>
      <c r="G24" s="71"/>
      <c r="H24" s="71"/>
      <c r="I24" s="71"/>
      <c r="J24" s="71"/>
      <c r="K24" s="71"/>
      <c r="L24" s="10"/>
      <c r="M24" s="10"/>
      <c r="N24" s="10"/>
      <c r="O24" s="10"/>
      <c r="P24" s="10"/>
      <c r="Q24" s="10"/>
    </row>
    <row r="25" spans="1:17" x14ac:dyDescent="0.2">
      <c r="A25" s="10"/>
      <c r="B25" s="10"/>
      <c r="C25" s="10"/>
      <c r="D25" s="10"/>
      <c r="E25" s="72"/>
      <c r="F25" s="72"/>
      <c r="G25" s="73"/>
      <c r="H25" s="73"/>
      <c r="I25" s="71"/>
      <c r="J25" s="71"/>
      <c r="K25" s="71"/>
      <c r="L25" s="10"/>
      <c r="M25" s="10"/>
      <c r="N25" s="10"/>
      <c r="O25" s="10"/>
      <c r="P25" s="10"/>
      <c r="Q25" s="10"/>
    </row>
    <row r="26" spans="1:17" x14ac:dyDescent="0.2">
      <c r="A26" s="10"/>
      <c r="B26" s="10"/>
      <c r="C26" s="10"/>
      <c r="D26" s="10"/>
      <c r="E26" s="71"/>
      <c r="F26" s="71"/>
      <c r="G26" s="71"/>
      <c r="H26" s="71"/>
      <c r="I26" s="71"/>
      <c r="J26" s="71"/>
      <c r="K26" s="71"/>
      <c r="L26" s="10"/>
      <c r="M26" s="10"/>
      <c r="N26" s="10"/>
      <c r="O26" s="10"/>
      <c r="P26" s="10"/>
      <c r="Q26" s="10"/>
    </row>
    <row r="27" spans="1:17" x14ac:dyDescent="0.2">
      <c r="A27" s="10"/>
      <c r="B27" s="10"/>
      <c r="C27" s="10"/>
      <c r="D27" s="10"/>
      <c r="E27" s="71"/>
      <c r="F27" s="71"/>
      <c r="G27" s="71"/>
      <c r="H27" s="71"/>
      <c r="I27" s="61" t="s">
        <v>92</v>
      </c>
      <c r="J27" s="73"/>
      <c r="K27" s="72"/>
      <c r="L27" s="10"/>
      <c r="M27" s="10"/>
      <c r="N27" s="10"/>
      <c r="O27" s="10"/>
      <c r="P27" s="10"/>
      <c r="Q27" s="10"/>
    </row>
    <row r="28" spans="1:17" ht="42" customHeight="1" x14ac:dyDescent="0.2">
      <c r="A28" s="10"/>
      <c r="B28" s="10"/>
      <c r="C28" s="10"/>
      <c r="D28" s="10"/>
      <c r="E28" s="74" t="s">
        <v>29</v>
      </c>
      <c r="F28" s="75"/>
      <c r="G28" s="71"/>
      <c r="H28" s="71"/>
      <c r="I28" s="62" t="s">
        <v>91</v>
      </c>
      <c r="J28" s="76"/>
      <c r="K28" s="76"/>
      <c r="L28" s="10"/>
      <c r="M28" s="10"/>
      <c r="N28" s="10"/>
      <c r="O28" s="10"/>
      <c r="P28" s="10"/>
      <c r="Q28" s="10"/>
    </row>
    <row r="29" spans="1:17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</sheetData>
  <autoFilter ref="H10:H20"/>
  <dataConsolidate function="product">
    <dataRefs count="1">
      <dataRef ref="J11:J19" sheet="Raporti tremujor i kontributeve"/>
    </dataRefs>
  </dataConsolidate>
  <customSheetViews>
    <customSheetView guid="{09AFD497-C868-4385-9AB3-7F1632F55388}" showGridLines="0" zeroValues="0" hiddenColumns="1" showRuler="0">
      <pane xSplit="5" ySplit="10" topLeftCell="F11" activePane="bottomRight" state="frozen"/>
      <selection pane="bottomRight" activeCell="D11" sqref="D11"/>
      <pageMargins left="0.5" right="0.5" top="1" bottom="1" header="0.5" footer="0.5"/>
      <pageSetup paperSize="9" orientation="portrait" verticalDpi="0" r:id="rId1"/>
      <headerFooter alignWithMargins="0"/>
    </customSheetView>
    <customSheetView guid="{CE29130D-F54B-4517-B637-01D908CB90D3}" showGridLines="0" zeroValues="0" showAutoFilter="1" hiddenRows="1" hiddenColumns="1" showRuler="0">
      <pane xSplit="11" ySplit="10" topLeftCell="L11" activePane="bottomRight" state="frozen"/>
      <selection pane="bottomRight" activeCell="F1" sqref="F1"/>
      <pageMargins left="0.5" right="0.5" top="0.5" bottom="0.5" header="0.5" footer="0.5"/>
      <printOptions horizontalCentered="1"/>
      <pageSetup paperSize="9" orientation="portrait" verticalDpi="0" r:id="rId2"/>
      <headerFooter alignWithMargins="0"/>
      <autoFilter ref="B1"/>
    </customSheetView>
  </customSheetViews>
  <mergeCells count="3">
    <mergeCell ref="E2:G2"/>
    <mergeCell ref="E3:G3"/>
    <mergeCell ref="E4:G4"/>
  </mergeCells>
  <phoneticPr fontId="0" type="noConversion"/>
  <hyperlinks>
    <hyperlink ref="F1" location="Permbajtja!A1" display="Kthehu prapa"/>
  </hyperlinks>
  <printOptions horizontalCentered="1"/>
  <pageMargins left="0.5" right="0.5" top="0.5" bottom="0.5" header="0.5" footer="0.5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Drop Down 3">
              <controlPr defaultSize="0" print="0" autoLine="0" autoPict="0">
                <anchor moveWithCells="1">
                  <from>
                    <xdr:col>6</xdr:col>
                    <xdr:colOff>152400</xdr:colOff>
                    <xdr:row>5</xdr:row>
                    <xdr:rowOff>142875</xdr:rowOff>
                  </from>
                  <to>
                    <xdr:col>6</xdr:col>
                    <xdr:colOff>857250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23"/>
  <sheetViews>
    <sheetView showGridLines="0" showZeros="0" workbookViewId="0">
      <pane xSplit="6" ySplit="10" topLeftCell="G11" activePane="bottomRight" state="frozen"/>
      <selection activeCell="D29" sqref="D29"/>
      <selection pane="topRight" activeCell="D29" sqref="D29"/>
      <selection pane="bottomLeft" activeCell="D29" sqref="D29"/>
      <selection pane="bottomRight" activeCell="C1" sqref="C1"/>
    </sheetView>
  </sheetViews>
  <sheetFormatPr defaultRowHeight="12.75" x14ac:dyDescent="0.2"/>
  <cols>
    <col min="1" max="1" width="1.7109375" customWidth="1"/>
    <col min="2" max="2" width="4.42578125" customWidth="1"/>
    <col min="3" max="3" width="14.7109375" customWidth="1"/>
    <col min="4" max="6" width="13.7109375" customWidth="1"/>
    <col min="7" max="7" width="1.42578125" customWidth="1"/>
    <col min="8" max="11" width="10.7109375" customWidth="1"/>
    <col min="12" max="12" width="12.7109375" customWidth="1"/>
  </cols>
  <sheetData>
    <row r="1" spans="1:12" ht="15" customHeight="1" x14ac:dyDescent="0.2">
      <c r="A1" s="4"/>
      <c r="B1" s="5"/>
      <c r="C1" s="161" t="s">
        <v>14</v>
      </c>
      <c r="D1" s="5"/>
      <c r="E1" s="5"/>
      <c r="F1" s="4"/>
      <c r="G1" s="4"/>
      <c r="H1" s="4"/>
      <c r="I1" s="4"/>
      <c r="J1" s="4"/>
      <c r="K1" s="4"/>
      <c r="L1" s="4"/>
    </row>
    <row r="2" spans="1:12" ht="18" customHeight="1" x14ac:dyDescent="0.2">
      <c r="A2" s="4"/>
      <c r="B2" s="344" t="str">
        <f>Shenime!D3</f>
        <v>ASTRONIK</v>
      </c>
      <c r="C2" s="344"/>
      <c r="D2" s="344"/>
      <c r="E2" s="5"/>
      <c r="F2" s="5"/>
      <c r="G2" s="5"/>
      <c r="H2" s="5"/>
      <c r="I2" s="4"/>
      <c r="J2" s="4"/>
      <c r="K2" s="4"/>
      <c r="L2" s="4"/>
    </row>
    <row r="3" spans="1:12" ht="15" customHeight="1" x14ac:dyDescent="0.2">
      <c r="A3" s="4"/>
      <c r="B3" s="345" t="str">
        <f>Shenime!D4</f>
        <v>80258348/600456645</v>
      </c>
      <c r="C3" s="345"/>
      <c r="D3" s="345"/>
      <c r="E3" s="5"/>
      <c r="F3" s="5"/>
      <c r="G3" s="5"/>
      <c r="H3" s="5"/>
      <c r="I3" s="4"/>
      <c r="J3" s="4"/>
      <c r="K3" s="4"/>
      <c r="L3" s="4"/>
    </row>
    <row r="4" spans="1:12" ht="15" customHeight="1" x14ac:dyDescent="0.2">
      <c r="A4" s="4"/>
      <c r="B4" s="346" t="str">
        <f>Shenime!D6</f>
        <v>MALISHEVË</v>
      </c>
      <c r="C4" s="347"/>
      <c r="D4" s="347"/>
      <c r="E4" s="5"/>
      <c r="F4" s="5"/>
      <c r="G4" s="5"/>
      <c r="H4" s="5"/>
      <c r="I4" s="4"/>
      <c r="J4" s="4"/>
      <c r="K4" s="4"/>
      <c r="L4" s="4"/>
    </row>
    <row r="5" spans="1:1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">
      <c r="A9" s="4"/>
      <c r="B9" s="5"/>
      <c r="C9" s="343" t="s">
        <v>51</v>
      </c>
      <c r="D9" s="343"/>
      <c r="E9" s="343"/>
      <c r="F9" s="343"/>
      <c r="G9" s="17"/>
      <c r="H9" s="343" t="s">
        <v>45</v>
      </c>
      <c r="I9" s="343"/>
      <c r="J9" s="343"/>
      <c r="K9" s="343"/>
      <c r="L9" s="341" t="s">
        <v>50</v>
      </c>
    </row>
    <row r="10" spans="1:12" ht="24" x14ac:dyDescent="0.2">
      <c r="A10" s="4"/>
      <c r="B10" s="13"/>
      <c r="C10" s="102">
        <f>Shenime!H7</f>
        <v>2019</v>
      </c>
      <c r="D10" s="3" t="s">
        <v>44</v>
      </c>
      <c r="E10" s="3" t="s">
        <v>3</v>
      </c>
      <c r="F10" s="3" t="s">
        <v>43</v>
      </c>
      <c r="G10" s="14"/>
      <c r="H10" s="3" t="s">
        <v>46</v>
      </c>
      <c r="I10" s="3" t="s">
        <v>47</v>
      </c>
      <c r="J10" s="3" t="s">
        <v>48</v>
      </c>
      <c r="K10" s="3" t="s">
        <v>49</v>
      </c>
      <c r="L10" s="342"/>
    </row>
    <row r="11" spans="1:12" ht="15" customHeight="1" x14ac:dyDescent="0.2">
      <c r="A11" s="4"/>
      <c r="B11" s="42">
        <v>1</v>
      </c>
      <c r="C11" s="46" t="s">
        <v>31</v>
      </c>
      <c r="D11" s="47">
        <f>Janar!M$8</f>
        <v>0</v>
      </c>
      <c r="E11" s="47">
        <f>Janar!U$8</f>
        <v>0</v>
      </c>
      <c r="F11" s="47">
        <f>Janar!V$8</f>
        <v>0</v>
      </c>
      <c r="G11" s="14"/>
      <c r="H11" s="52">
        <f>COUNTIF(Janar!$M$11:$M$21,"&gt;0")-COUNTIF(Janar!$M$11:$M$21,"&gt;=80")</f>
        <v>0</v>
      </c>
      <c r="I11" s="52">
        <f>COUNTIF(Janar!$M$11:$M$21,"&gt;80")-COUNTIF(Janar!$M$11:$M$21,"&gt;=250")</f>
        <v>0</v>
      </c>
      <c r="J11" s="52">
        <f>COUNTIF(Janar!$M$11:$M$21,"&gt;250")-COUNTIF(Janar!$M$11:$M$21,"&gt;=450")</f>
        <v>0</v>
      </c>
      <c r="K11" s="52">
        <f>COUNTIF(Janar!$M$11:$M$21,"&gt;450")</f>
        <v>0</v>
      </c>
      <c r="L11" s="52">
        <f>SUM(H11:K11)</f>
        <v>0</v>
      </c>
    </row>
    <row r="12" spans="1:12" ht="15" customHeight="1" x14ac:dyDescent="0.2">
      <c r="A12" s="4"/>
      <c r="B12" s="43">
        <v>2</v>
      </c>
      <c r="C12" s="48" t="s">
        <v>32</v>
      </c>
      <c r="D12" s="49">
        <f>Shkurt!M$8</f>
        <v>0</v>
      </c>
      <c r="E12" s="49">
        <f>Shkurt!U$8</f>
        <v>0</v>
      </c>
      <c r="F12" s="49">
        <f>Shkurt!V$8</f>
        <v>0</v>
      </c>
      <c r="G12" s="14"/>
      <c r="H12" s="53">
        <f>COUNTIF(Shkurt!$M$11:$M$20,"&gt;0")-COUNTIF(Shkurt!$M$11:$M$20,"&gt;=80")</f>
        <v>0</v>
      </c>
      <c r="I12" s="53">
        <f>COUNTIF(Shkurt!$M$11:$M$20,"&gt;80")-COUNTIF(Shkurt!$M$11:$M$20,"&gt;=250")</f>
        <v>0</v>
      </c>
      <c r="J12" s="53">
        <f>COUNTIF(Shkurt!$M$11:$M$20,"&gt;250")-COUNTIF(Shkurt!$M$11:$M$20,"&gt;=450")</f>
        <v>0</v>
      </c>
      <c r="K12" s="53">
        <f>COUNTIF(Shkurt!$M$11:$M$20,"&gt;450")</f>
        <v>0</v>
      </c>
      <c r="L12" s="53">
        <f t="shared" ref="L12:L22" si="0">SUM(H12:K12)</f>
        <v>0</v>
      </c>
    </row>
    <row r="13" spans="1:12" ht="15" customHeight="1" x14ac:dyDescent="0.2">
      <c r="A13" s="4"/>
      <c r="B13" s="43">
        <v>3</v>
      </c>
      <c r="C13" s="48" t="s">
        <v>33</v>
      </c>
      <c r="D13" s="49">
        <f>Mars!M$8</f>
        <v>0</v>
      </c>
      <c r="E13" s="49">
        <f>Mars!U$8</f>
        <v>0</v>
      </c>
      <c r="F13" s="49">
        <f>Mars!V$8</f>
        <v>0</v>
      </c>
      <c r="G13" s="14"/>
      <c r="H13" s="53">
        <f>COUNTIF(Mars!$M$11:$M$20,"&gt;0")-COUNTIF(Mars!$M$11:$M$20,"&gt;=80")</f>
        <v>0</v>
      </c>
      <c r="I13" s="53">
        <f>COUNTIF(Mars!$M$11:$M$20,"&gt;80")-COUNTIF(Mars!$M$11:$M$20,"&gt;=250")</f>
        <v>0</v>
      </c>
      <c r="J13" s="53">
        <f>COUNTIF(Mars!$M$11:$M$20,"&gt;250")-COUNTIF(Mars!$M$11:$M$20,"&gt;=450")</f>
        <v>0</v>
      </c>
      <c r="K13" s="53">
        <f>COUNTIF(Mars!$M$11:$M$20,"&gt;450")</f>
        <v>0</v>
      </c>
      <c r="L13" s="53">
        <f t="shared" si="0"/>
        <v>0</v>
      </c>
    </row>
    <row r="14" spans="1:12" ht="15" customHeight="1" x14ac:dyDescent="0.2">
      <c r="A14" s="4"/>
      <c r="B14" s="43">
        <v>4</v>
      </c>
      <c r="C14" s="48" t="s">
        <v>34</v>
      </c>
      <c r="D14" s="49">
        <v>950</v>
      </c>
      <c r="E14" s="49">
        <v>27.7</v>
      </c>
      <c r="F14" s="49">
        <v>922.3</v>
      </c>
      <c r="G14" s="14"/>
      <c r="H14" s="53">
        <f>COUNTIF(Prill!$M$11:$M$20,"&gt;0")-COUNTIF(Prill!$M$11:$M$20,"&gt;=80")</f>
        <v>0</v>
      </c>
      <c r="I14" s="53">
        <f>COUNTIF(Prill!$M$11:$M$20,"&gt;80")-COUNTIF(Prill!$M$11:$M$20,"&gt;=250")</f>
        <v>0</v>
      </c>
      <c r="J14" s="53">
        <f>COUNTIF(Prill!$M$11:$M$20,"&gt;250")-COUNTIF(Prill!$M$11:$M$20,"&gt;=450")</f>
        <v>0</v>
      </c>
      <c r="K14" s="53">
        <f>COUNTIF(Prill!$M$11:$M$20,"&gt;450")</f>
        <v>0</v>
      </c>
      <c r="L14" s="53">
        <f t="shared" si="0"/>
        <v>0</v>
      </c>
    </row>
    <row r="15" spans="1:12" ht="15" customHeight="1" x14ac:dyDescent="0.2">
      <c r="A15" s="4"/>
      <c r="B15" s="43">
        <v>5</v>
      </c>
      <c r="C15" s="48" t="s">
        <v>35</v>
      </c>
      <c r="D15" s="49">
        <v>1140</v>
      </c>
      <c r="E15" s="49">
        <v>32.1</v>
      </c>
      <c r="F15" s="49">
        <v>1108</v>
      </c>
      <c r="G15" s="14"/>
      <c r="H15" s="53">
        <f>COUNTIF(Maj!$M$11:$M$20,"&gt;0")-COUNTIF(Maj!$M$11:$M$20,"&gt;=80")</f>
        <v>0</v>
      </c>
      <c r="I15" s="53">
        <f>COUNTIF(Maj!$M$11:$M$20,"&gt;80")-COUNTIF(Maj!$M$11:$M$20,"&gt;=250")</f>
        <v>0</v>
      </c>
      <c r="J15" s="53">
        <f>COUNTIF(Maj!$M$11:$M$20,"&gt;250")-COUNTIF(Maj!$M$11:$M$20,"&gt;=450")</f>
        <v>0</v>
      </c>
      <c r="K15" s="53">
        <f>COUNTIF(Maj!$M$11:$M$20,"&gt;450")</f>
        <v>0</v>
      </c>
      <c r="L15" s="53">
        <f t="shared" si="0"/>
        <v>0</v>
      </c>
    </row>
    <row r="16" spans="1:12" ht="15" customHeight="1" x14ac:dyDescent="0.2">
      <c r="A16" s="4"/>
      <c r="B16" s="43">
        <v>6</v>
      </c>
      <c r="C16" s="48" t="s">
        <v>36</v>
      </c>
      <c r="D16" s="49">
        <v>1140</v>
      </c>
      <c r="E16" s="49">
        <v>32.1</v>
      </c>
      <c r="F16" s="49">
        <v>1108</v>
      </c>
      <c r="G16" s="14"/>
      <c r="H16" s="53">
        <f>COUNTIF(Qershor!$M$11:$M$20,"&gt;0")-COUNTIF(Qershor!$M$11:$M$20,"&gt;=80")</f>
        <v>0</v>
      </c>
      <c r="I16" s="53">
        <f>COUNTIF(Qershor!$M$11:$M$20,"&gt;80")-COUNTIF(Qershor!$M$11:$M$20,"&gt;=250")</f>
        <v>0</v>
      </c>
      <c r="J16" s="53">
        <f>COUNTIF(Qershor!$M$11:$M$20,"&gt;250")-COUNTIF(Qershor!$M$11:$M$20,"&gt;=450")</f>
        <v>0</v>
      </c>
      <c r="K16" s="53">
        <f>COUNTIF(Qershor!$M$11:$M$20,"&gt;450")</f>
        <v>0</v>
      </c>
      <c r="L16" s="53">
        <f t="shared" si="0"/>
        <v>0</v>
      </c>
    </row>
    <row r="17" spans="1:12" ht="15" customHeight="1" x14ac:dyDescent="0.2">
      <c r="A17" s="4"/>
      <c r="B17" s="43">
        <v>7</v>
      </c>
      <c r="C17" s="48" t="s">
        <v>37</v>
      </c>
      <c r="D17" s="49">
        <v>1140</v>
      </c>
      <c r="E17" s="49">
        <v>32.1</v>
      </c>
      <c r="F17" s="49">
        <v>1108</v>
      </c>
      <c r="G17" s="14"/>
      <c r="H17" s="53">
        <f>COUNTIF(Korrik!$M$11:$M$20,"&gt;0")-COUNTIF(Korrik!$M$11:$M$20,"&gt;=80")</f>
        <v>0</v>
      </c>
      <c r="I17" s="53">
        <f>COUNTIF(Korrik!$M$11:$M$20,"&gt;80")-COUNTIF(Korrik!$M$11:$M$20,"&gt;=250")</f>
        <v>0</v>
      </c>
      <c r="J17" s="53">
        <f>COUNTIF(Korrik!$M$11:$M$20,"&gt;250")-COUNTIF(Korrik!$M$11:$M$20,"&gt;=450")</f>
        <v>0</v>
      </c>
      <c r="K17" s="53">
        <f>COUNTIF(Korrik!$M$11:$M$20,"&gt;450")</f>
        <v>0</v>
      </c>
      <c r="L17" s="53">
        <f t="shared" si="0"/>
        <v>0</v>
      </c>
    </row>
    <row r="18" spans="1:12" ht="15" customHeight="1" x14ac:dyDescent="0.2">
      <c r="A18" s="4"/>
      <c r="B18" s="43">
        <v>8</v>
      </c>
      <c r="C18" s="48" t="s">
        <v>38</v>
      </c>
      <c r="D18" s="49">
        <v>1140</v>
      </c>
      <c r="E18" s="49">
        <v>32.1</v>
      </c>
      <c r="F18" s="49">
        <v>1108</v>
      </c>
      <c r="G18" s="14"/>
      <c r="H18" s="53">
        <f>COUNTIF(Gusht!$M$11:$M$20,"&gt;0")-COUNTIF(Gusht!$M$11:$M$20,"&gt;=80")</f>
        <v>0</v>
      </c>
      <c r="I18" s="53">
        <f>COUNTIF(Gusht!$M$11:$M$20,"&gt;80")-COUNTIF(Gusht!$M$11:$M$20,"&gt;=250")</f>
        <v>0</v>
      </c>
      <c r="J18" s="53">
        <f>COUNTIF(Gusht!$M$11:$M$20,"&gt;250")-COUNTIF(Gusht!$M$11:$M$20,"&gt;=450")</f>
        <v>0</v>
      </c>
      <c r="K18" s="53">
        <f>COUNTIF(Gusht!$M$11:$M$20,"&gt;450")</f>
        <v>0</v>
      </c>
      <c r="L18" s="53">
        <f t="shared" si="0"/>
        <v>0</v>
      </c>
    </row>
    <row r="19" spans="1:12" ht="15" customHeight="1" x14ac:dyDescent="0.2">
      <c r="A19" s="4"/>
      <c r="B19" s="43">
        <v>9</v>
      </c>
      <c r="C19" s="48" t="s">
        <v>39</v>
      </c>
      <c r="D19" s="49">
        <v>1140</v>
      </c>
      <c r="E19" s="49">
        <v>32.1</v>
      </c>
      <c r="F19" s="49">
        <v>1108</v>
      </c>
      <c r="G19" s="14"/>
      <c r="H19" s="53">
        <f>COUNTIF(Shtator!$M$11:$M$20,"&gt;0")-COUNTIF(Shtator!$M$11:$M$20,"&gt;=80")</f>
        <v>0</v>
      </c>
      <c r="I19" s="53">
        <f>COUNTIF(Shtator!$M$11:$M$20,"&gt;80")-COUNTIF(Shtator!$M$11:$M$20,"&gt;=250")</f>
        <v>9</v>
      </c>
      <c r="J19" s="53">
        <f>COUNTIF(Shtator!$M$11:$M$20,"&gt;250")-COUNTIF(Shtator!$M$11:$M$20,"&gt;=450")</f>
        <v>0</v>
      </c>
      <c r="K19" s="53">
        <f>COUNTIF(Shtator!$M$11:$M$20,"&gt;450")</f>
        <v>0</v>
      </c>
      <c r="L19" s="53">
        <f t="shared" si="0"/>
        <v>9</v>
      </c>
    </row>
    <row r="20" spans="1:12" ht="15" customHeight="1" x14ac:dyDescent="0.2">
      <c r="A20" s="4"/>
      <c r="B20" s="43">
        <v>10</v>
      </c>
      <c r="C20" s="48" t="s">
        <v>40</v>
      </c>
      <c r="D20" s="49">
        <v>1140</v>
      </c>
      <c r="E20" s="49">
        <v>32.1</v>
      </c>
      <c r="F20" s="49">
        <v>1108</v>
      </c>
      <c r="G20" s="14"/>
      <c r="H20" s="53">
        <f>COUNTIF(Tetor!$M$11:$M$20,"&gt;0")-COUNTIF(Tetor!$M$11:$M$20,"&gt;=80")</f>
        <v>0</v>
      </c>
      <c r="I20" s="53">
        <f>COUNTIF(Tetor!$M$11:$M$20,"&gt;80")-COUNTIF(Tetor!$M$11:$M$20,"&gt;=250")</f>
        <v>0</v>
      </c>
      <c r="J20" s="53">
        <f>COUNTIF(Tetor!$M$11:$M$20,"&gt;250")-COUNTIF(Tetor!$M$11:$M$20,"&gt;=450")</f>
        <v>0</v>
      </c>
      <c r="K20" s="53">
        <f>COUNTIF(Tetor!$M$11:$M$20,"&gt;450")</f>
        <v>0</v>
      </c>
      <c r="L20" s="53">
        <f t="shared" si="0"/>
        <v>0</v>
      </c>
    </row>
    <row r="21" spans="1:12" ht="15" customHeight="1" x14ac:dyDescent="0.2">
      <c r="A21" s="4"/>
      <c r="B21" s="43">
        <v>11</v>
      </c>
      <c r="C21" s="48" t="s">
        <v>41</v>
      </c>
      <c r="D21" s="49">
        <v>1140</v>
      </c>
      <c r="E21" s="49">
        <v>32.1</v>
      </c>
      <c r="F21" s="49">
        <v>1108</v>
      </c>
      <c r="G21" s="14"/>
      <c r="H21" s="53">
        <f>COUNTIF(Nentor!$M$11:$M$20,"&gt;0")-COUNTIF(Nentor!$M$11:$M$20,"&gt;=80")</f>
        <v>0</v>
      </c>
      <c r="I21" s="53">
        <f>COUNTIF(Nentor!$M$11:$M$20,"&gt;80")-COUNTIF(Nentor!$M$11:$M$20,"&gt;=250")</f>
        <v>0</v>
      </c>
      <c r="J21" s="53">
        <f>COUNTIF(Nentor!$M$11:$M$20,"&gt;250")-COUNTIF(Nentor!$M$11:$M$20,"&gt;=450")</f>
        <v>0</v>
      </c>
      <c r="K21" s="53">
        <f>COUNTIF(Nentor!$M$11:$M$20,"&gt;450")</f>
        <v>0</v>
      </c>
      <c r="L21" s="53">
        <f t="shared" si="0"/>
        <v>0</v>
      </c>
    </row>
    <row r="22" spans="1:12" ht="15" customHeight="1" x14ac:dyDescent="0.2">
      <c r="A22" s="4"/>
      <c r="B22" s="44">
        <v>12</v>
      </c>
      <c r="C22" s="50" t="s">
        <v>42</v>
      </c>
      <c r="D22" s="51">
        <v>1140</v>
      </c>
      <c r="E22" s="49">
        <v>32.1</v>
      </c>
      <c r="F22" s="49">
        <v>1108</v>
      </c>
      <c r="G22" s="14"/>
      <c r="H22" s="54">
        <f>COUNTIF(Dhjetor!$M$11:$M$20,"&gt;0")-COUNTIF(Dhjetor!$M$11:$M$20,"&gt;=80")</f>
        <v>0</v>
      </c>
      <c r="I22" s="54">
        <f>COUNTIF(Dhjetor!$M$11:$M$20,"&gt;80")-COUNTIF(Dhjetor!$M$11:$M$20,"&gt;=250")</f>
        <v>0</v>
      </c>
      <c r="J22" s="54">
        <f>COUNTIF(Dhjetor!$M$11:$M$20,"&gt;250")-COUNTIF(Dhjetor!$M$11:$M$20,"&gt;=450")</f>
        <v>0</v>
      </c>
      <c r="K22" s="54">
        <f>COUNTIF(Dhjetor!$M$11:$M$20,"&gt;450")</f>
        <v>0</v>
      </c>
      <c r="L22" s="54">
        <f t="shared" si="0"/>
        <v>0</v>
      </c>
    </row>
    <row r="23" spans="1:12" ht="18" customHeight="1" x14ac:dyDescent="0.2">
      <c r="A23" s="4"/>
      <c r="B23" s="13"/>
      <c r="C23" s="55" t="s">
        <v>90</v>
      </c>
      <c r="D23" s="15">
        <f>SUM(D11:D22)</f>
        <v>10070</v>
      </c>
      <c r="E23" s="15">
        <f>SUM(E11:E22)</f>
        <v>284.5</v>
      </c>
      <c r="F23" s="15">
        <f>SUM(F11:F22)</f>
        <v>9786.2999999999993</v>
      </c>
      <c r="G23" s="14"/>
      <c r="H23" s="16">
        <f>SUM(H11:H22)</f>
        <v>0</v>
      </c>
      <c r="I23" s="16">
        <f>SUM(I11:I22)</f>
        <v>9</v>
      </c>
      <c r="J23" s="16">
        <f>SUM(J11:J22)</f>
        <v>0</v>
      </c>
      <c r="K23" s="16">
        <f>SUM(K11:K22)</f>
        <v>0</v>
      </c>
      <c r="L23" s="16">
        <f>SUM(L11:L22)</f>
        <v>9</v>
      </c>
    </row>
  </sheetData>
  <customSheetViews>
    <customSheetView guid="{09AFD497-C868-4385-9AB3-7F1632F55388}" showGridLines="0" zeroValues="0" showRuler="0">
      <pane xSplit="6" ySplit="10" topLeftCell="G11" activePane="bottomRight" state="frozen"/>
      <selection pane="bottomRight" activeCell="D11" sqref="D11"/>
      <pageMargins left="0.5" right="0.5" top="1" bottom="1" header="0.5" footer="0.5"/>
      <pageSetup paperSize="9" orientation="landscape" verticalDpi="0" r:id="rId1"/>
      <headerFooter alignWithMargins="0"/>
    </customSheetView>
    <customSheetView guid="{CE29130D-F54B-4517-B637-01D908CB90D3}" showGridLines="0" zeroValues="0" showRuler="0">
      <pane xSplit="6" ySplit="10" topLeftCell="G11" activePane="bottomRight" state="frozen"/>
      <selection pane="bottomRight" activeCell="C1" sqref="C1"/>
      <pageMargins left="0.5" right="0.5" top="1" bottom="1" header="0.5" footer="0.5"/>
      <printOptions horizontalCentered="1"/>
      <pageSetup paperSize="9" orientation="landscape" verticalDpi="0" r:id="rId2"/>
      <headerFooter alignWithMargins="0"/>
    </customSheetView>
  </customSheetViews>
  <mergeCells count="6">
    <mergeCell ref="L9:L10"/>
    <mergeCell ref="H9:K9"/>
    <mergeCell ref="B2:D2"/>
    <mergeCell ref="B3:D3"/>
    <mergeCell ref="B4:D4"/>
    <mergeCell ref="C9:F9"/>
  </mergeCells>
  <phoneticPr fontId="0" type="noConversion"/>
  <hyperlinks>
    <hyperlink ref="C1" location="Permbajtja!A1" display="Kthehu prapa"/>
  </hyperlinks>
  <printOptions horizontalCentered="1"/>
  <pageMargins left="0.5" right="0.5" top="1" bottom="1" header="0.5" footer="0.5"/>
  <pageSetup paperSize="9" orientation="landscape" verticalDpi="0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8"/>
  <sheetViews>
    <sheetView showGridLines="0" showZeros="0" zoomScaleSheetLayoutView="100" workbookViewId="0">
      <pane xSplit="4" ySplit="10" topLeftCell="E11" activePane="bottomRight" state="frozen"/>
      <selection activeCell="D29" sqref="D29"/>
      <selection pane="topRight" activeCell="D29" sqref="D29"/>
      <selection pane="bottomLeft" activeCell="D29" sqref="D29"/>
      <selection pane="bottomRight" activeCell="C1" sqref="C1"/>
    </sheetView>
  </sheetViews>
  <sheetFormatPr defaultRowHeight="12.75" x14ac:dyDescent="0.2"/>
  <cols>
    <col min="1" max="1" width="1.7109375" style="18" customWidth="1"/>
    <col min="2" max="2" width="5.7109375" style="18" customWidth="1"/>
    <col min="3" max="3" width="22.7109375" style="18" customWidth="1"/>
    <col min="4" max="6" width="14.140625" style="18" customWidth="1"/>
    <col min="7" max="7" width="14.140625" style="18" hidden="1" customWidth="1"/>
    <col min="8" max="10" width="14.140625" style="18" customWidth="1"/>
    <col min="11" max="16384" width="9.140625" style="18"/>
  </cols>
  <sheetData>
    <row r="1" spans="1:10" ht="15" customHeight="1" x14ac:dyDescent="0.2">
      <c r="A1" s="167"/>
      <c r="B1" s="167"/>
      <c r="C1" s="161" t="s">
        <v>14</v>
      </c>
      <c r="D1" s="167"/>
      <c r="E1" s="167"/>
      <c r="F1" s="167"/>
      <c r="G1" s="167"/>
      <c r="H1" s="167"/>
      <c r="I1" s="167"/>
      <c r="J1" s="167"/>
    </row>
    <row r="2" spans="1:10" ht="20.25" x14ac:dyDescent="0.2">
      <c r="A2" s="167"/>
      <c r="B2" s="349" t="str">
        <f>Shenime!D3</f>
        <v>ASTRONIK</v>
      </c>
      <c r="C2" s="350"/>
      <c r="D2" s="351"/>
      <c r="E2" s="167"/>
      <c r="F2" s="167"/>
      <c r="G2" s="167"/>
      <c r="H2" s="167"/>
      <c r="I2" s="167"/>
      <c r="J2" s="167"/>
    </row>
    <row r="3" spans="1:10" ht="15.75" x14ac:dyDescent="0.2">
      <c r="A3" s="167"/>
      <c r="B3" s="352" t="str">
        <f>Shenime!D4</f>
        <v>80258348/600456645</v>
      </c>
      <c r="C3" s="353"/>
      <c r="D3" s="354"/>
      <c r="E3" s="167"/>
      <c r="F3" s="167"/>
      <c r="G3" s="167"/>
      <c r="H3" s="167"/>
      <c r="I3" s="167"/>
      <c r="J3" s="167"/>
    </row>
    <row r="4" spans="1:10" ht="9" customHeight="1" x14ac:dyDescent="0.2">
      <c r="A4" s="167"/>
      <c r="B4" s="355" t="str">
        <f>Shenime!D6</f>
        <v>MALISHEVË</v>
      </c>
      <c r="C4" s="356"/>
      <c r="D4" s="357"/>
      <c r="E4" s="167"/>
      <c r="F4" s="167"/>
      <c r="G4" s="167"/>
      <c r="H4" s="167"/>
      <c r="I4" s="167"/>
      <c r="J4" s="167"/>
    </row>
    <row r="5" spans="1:10" ht="9" customHeight="1" x14ac:dyDescent="0.2">
      <c r="A5" s="167"/>
      <c r="B5" s="358"/>
      <c r="C5" s="356"/>
      <c r="D5" s="357"/>
      <c r="E5" s="167"/>
      <c r="F5" s="167"/>
      <c r="G5" s="167"/>
      <c r="H5" s="167"/>
      <c r="I5" s="167"/>
      <c r="J5" s="167"/>
    </row>
    <row r="6" spans="1:10" hidden="1" x14ac:dyDescent="0.2">
      <c r="A6" s="167"/>
      <c r="B6" s="167"/>
      <c r="C6" s="167"/>
      <c r="D6" s="167"/>
      <c r="E6" s="167"/>
      <c r="F6" s="167"/>
      <c r="G6" s="167"/>
      <c r="H6" s="167"/>
      <c r="I6" s="167"/>
      <c r="J6" s="167"/>
    </row>
    <row r="7" spans="1:10" hidden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</row>
    <row r="8" spans="1:10" x14ac:dyDescent="0.2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27" customHeight="1" x14ac:dyDescent="0.35">
      <c r="A9" s="167"/>
      <c r="B9" s="359" t="str">
        <f>"LISTË-PAGESA VJETORE PËR VITIN"&amp;" "&amp;Shenime!H7</f>
        <v>LISTË-PAGESA VJETORE PËR VITIN 2019</v>
      </c>
      <c r="C9" s="359"/>
      <c r="D9" s="359"/>
      <c r="E9" s="359"/>
      <c r="F9" s="359"/>
      <c r="G9" s="359"/>
      <c r="H9" s="359"/>
      <c r="I9" s="359"/>
      <c r="J9" s="359"/>
    </row>
    <row r="10" spans="1:10" s="19" customFormat="1" ht="48" customHeight="1" x14ac:dyDescent="0.25">
      <c r="A10" s="168"/>
      <c r="B10" s="240" t="s">
        <v>0</v>
      </c>
      <c r="C10" s="240" t="s">
        <v>52</v>
      </c>
      <c r="D10" s="240" t="s">
        <v>53</v>
      </c>
      <c r="E10" s="240" t="s">
        <v>54</v>
      </c>
      <c r="F10" s="240" t="s">
        <v>107</v>
      </c>
      <c r="G10" s="240" t="s">
        <v>142</v>
      </c>
      <c r="H10" s="240" t="s">
        <v>55</v>
      </c>
      <c r="I10" s="240" t="s">
        <v>56</v>
      </c>
      <c r="J10" s="240" t="s">
        <v>57</v>
      </c>
    </row>
    <row r="11" spans="1:10" ht="20.25" customHeight="1" x14ac:dyDescent="0.2">
      <c r="A11" s="167"/>
      <c r="B11" s="241">
        <v>1</v>
      </c>
      <c r="C11" s="242" t="str">
        <f>Shenime!C11</f>
        <v>Albulena Morina</v>
      </c>
      <c r="D11" s="243" t="str">
        <f>Shenime!D11</f>
        <v>1013459742</v>
      </c>
      <c r="E11" s="244">
        <f>Janar!F11+Shkurt!F11+Mars!F11+Prill!F11+Maj!F11+Qershor!F11+Korrik!F11+Gusht!F11+Shtator!F11+Tetor!F11+Nentor!F11+Dhjetor!F11</f>
        <v>220</v>
      </c>
      <c r="F11" s="244">
        <f>Janar!J11+Shkurt!J11+Mars!J11+Prill!J11+Maj!J11+Qershor!J11+Korrik!J11+Gusht!J11+Shtator!J11+Tetor!J11+Nentor!J11+Dhjetor!J11</f>
        <v>11</v>
      </c>
      <c r="G11" s="244">
        <f>Janar!K11+Shkurt!K11+Mars!K11+Prill!K11+Maj!K11+Qershor!K11+Korrik!K11+Gusht!K11+Shtator!K11+Tetor!K11+Nentor!K11+Dhjetor!K11</f>
        <v>11</v>
      </c>
      <c r="H11" s="244">
        <f>Janar!M11+Shkurt!M11+Mars!M11+Prill!M11+Maj!M11+Qershor!M11+Korrik!M11+Gusht!M11+Shtator!M11+Tetor!M11+Nentor!M11+Dhjetor!M11</f>
        <v>209</v>
      </c>
      <c r="I11" s="244">
        <f>Janar!U11+Shkurt!U11+Mars!U11+Prill!U11+Maj!U11+Qershor!U11+Korrik!U11+Gusht!U11+Shtator!U11+Tetor!U11+Nentor!U11+Dhjetor!U11</f>
        <v>5.16</v>
      </c>
      <c r="J11" s="244">
        <f>Janar!V11+Shkurt!V11+Mars!V11+Prill!V11+Maj!V11+Qershor!V11+Korrik!V11+Gusht!V11+Shtator!V11+Tetor!V11+Nentor!V11+Dhjetor!V11</f>
        <v>203.84</v>
      </c>
    </row>
    <row r="12" spans="1:10" ht="20.25" customHeight="1" x14ac:dyDescent="0.2">
      <c r="A12" s="167"/>
      <c r="B12" s="241">
        <v>2</v>
      </c>
      <c r="C12" s="242">
        <f>Shenime!C12</f>
        <v>0</v>
      </c>
      <c r="D12" s="243">
        <f>Shenime!D12</f>
        <v>0</v>
      </c>
      <c r="E12" s="244">
        <f>Janar!F12+Shkurt!F12+Mars!F12+Prill!F12+Maj!F12+Qershor!F12+Korrik!F12+Gusht!F12+Shtator!F12+Tetor!F12+Nentor!F12+Dhjetor!F12</f>
        <v>200</v>
      </c>
      <c r="F12" s="244">
        <f>Janar!J12+Shkurt!J12+Mars!J12+Prill!J12+Maj!J12+Qershor!J12+Korrik!J12+Gusht!J12+Shtator!J12+Tetor!J12+Nentor!J12+Dhjetor!J12</f>
        <v>10</v>
      </c>
      <c r="G12" s="244">
        <f>Janar!K12+Shkurt!K12+Mars!K12+Prill!K12+Maj!K12+Qershor!K12+Korrik!K12+Gusht!K12+Shtator!K12+Tetor!K12+Nentor!K12+Dhjetor!K12</f>
        <v>10</v>
      </c>
      <c r="H12" s="244">
        <f>Janar!M12+Shkurt!M12+Mars!M12+Prill!M12+Maj!M12+Qershor!M12+Korrik!M12+Gusht!M12+Shtator!M12+Tetor!M12+Nentor!M12+Dhjetor!M12</f>
        <v>190</v>
      </c>
      <c r="I12" s="244">
        <f>Janar!U12+Shkurt!U12+Mars!U12+Prill!U12+Maj!U12+Qershor!U12+Korrik!U12+Gusht!U12+Shtator!U12+Tetor!U12+Nentor!U12+Dhjetor!U12</f>
        <v>4.4000000000000004</v>
      </c>
      <c r="J12" s="244">
        <f>Janar!V12+Shkurt!V12+Mars!V12+Prill!V12+Maj!V12+Qershor!V12+Korrik!V12+Gusht!V12+Shtator!V12+Tetor!V12+Nentor!V12+Dhjetor!V12</f>
        <v>185.6</v>
      </c>
    </row>
    <row r="13" spans="1:10" ht="20.25" customHeight="1" x14ac:dyDescent="0.2">
      <c r="A13" s="167"/>
      <c r="B13" s="241">
        <v>3</v>
      </c>
      <c r="C13" s="242">
        <f>Shenime!C13</f>
        <v>0</v>
      </c>
      <c r="D13" s="243">
        <f>Shenime!D13</f>
        <v>0</v>
      </c>
      <c r="E13" s="244">
        <f>Janar!F13+Shkurt!F13+Mars!F13+Prill!F13+Maj!F13+Qershor!F13+Korrik!F13+Gusht!F13+Shtator!F13+Tetor!F13+Nentor!F13+Dhjetor!F13</f>
        <v>190</v>
      </c>
      <c r="F13" s="244">
        <f>Janar!J13+Shkurt!J13+Mars!J13+Prill!J13+Maj!J13+Qershor!J13+Korrik!J13+Gusht!J13+Shtator!J13+Tetor!J13+Nentor!J13+Dhjetor!J13</f>
        <v>9.5</v>
      </c>
      <c r="G13" s="244">
        <f>Janar!K13+Shkurt!K13+Mars!K13+Prill!K13+Maj!K13+Qershor!K13+Korrik!K13+Gusht!K13+Shtator!K13+Tetor!K13+Nentor!K13+Dhjetor!K13</f>
        <v>9.5</v>
      </c>
      <c r="H13" s="244">
        <f>Janar!M13+Shkurt!M13+Mars!M13+Prill!M13+Maj!M13+Qershor!M13+Korrik!M13+Gusht!M13+Shtator!M13+Tetor!M13+Nentor!M13+Dhjetor!M13</f>
        <v>180.5</v>
      </c>
      <c r="I13" s="244">
        <f>Janar!U13+Shkurt!U13+Mars!U13+Prill!U13+Maj!U13+Qershor!U13+Korrik!U13+Gusht!U13+Shtator!U13+Tetor!U13+Nentor!U13+Dhjetor!U13</f>
        <v>4.0200000000000005</v>
      </c>
      <c r="J13" s="244">
        <f>Janar!V13+Shkurt!V13+Mars!V13+Prill!V13+Maj!V13+Qershor!V13+Korrik!V13+Gusht!V13+Shtator!V13+Tetor!V13+Nentor!V13+Dhjetor!V13</f>
        <v>176.48</v>
      </c>
    </row>
    <row r="14" spans="1:10" ht="20.25" customHeight="1" x14ac:dyDescent="0.2">
      <c r="A14" s="167"/>
      <c r="B14" s="241">
        <v>4</v>
      </c>
      <c r="C14" s="242">
        <f>Shenime!C14</f>
        <v>0</v>
      </c>
      <c r="D14" s="243">
        <f>Shenime!D14</f>
        <v>0</v>
      </c>
      <c r="E14" s="244">
        <f>Janar!F14+Shkurt!F14+Mars!F14+Prill!F14+Maj!F14+Qershor!F14+Korrik!F14+Gusht!F14+Shtator!F14+Tetor!F14+Nentor!F14+Dhjetor!F14</f>
        <v>150</v>
      </c>
      <c r="F14" s="244">
        <f>Janar!J14+Shkurt!J14+Mars!J14+Prill!J14+Maj!J14+Qershor!J14+Korrik!J14+Gusht!J14+Shtator!J14+Tetor!J14+Nentor!J14+Dhjetor!J14</f>
        <v>7.5</v>
      </c>
      <c r="G14" s="244">
        <f>Janar!K14+Shkurt!K14+Mars!K14+Prill!K14+Maj!K14+Qershor!K14+Korrik!K14+Gusht!K14+Shtator!K14+Tetor!K14+Nentor!K14+Dhjetor!K14</f>
        <v>7.5</v>
      </c>
      <c r="H14" s="244">
        <f>Janar!M14+Shkurt!M14+Mars!M14+Prill!M14+Maj!M14+Qershor!M14+Korrik!M14+Gusht!M14+Shtator!M14+Tetor!M14+Nentor!M14+Dhjetor!M14</f>
        <v>142.5</v>
      </c>
      <c r="I14" s="244">
        <f>Janar!U14+Shkurt!U14+Mars!U14+Prill!U14+Maj!U14+Qershor!U14+Korrik!U14+Gusht!U14+Shtator!U14+Tetor!U14+Nentor!U14+Dhjetor!U14</f>
        <v>2.5</v>
      </c>
      <c r="J14" s="244">
        <f>Janar!V14+Shkurt!V14+Mars!V14+Prill!V14+Maj!V14+Qershor!V14+Korrik!V14+Gusht!V14+Shtator!V14+Tetor!V14+Nentor!V14+Dhjetor!V14</f>
        <v>140</v>
      </c>
    </row>
    <row r="15" spans="1:10" ht="20.25" customHeight="1" x14ac:dyDescent="0.2">
      <c r="A15" s="167"/>
      <c r="B15" s="241">
        <v>5</v>
      </c>
      <c r="C15" s="242">
        <f>Shenime!C15</f>
        <v>0</v>
      </c>
      <c r="D15" s="243">
        <f>Shenime!D15</f>
        <v>0</v>
      </c>
      <c r="E15" s="244">
        <f>Janar!F15+Shkurt!F15+Mars!F15+Prill!F15+Maj!F15+Qershor!F15+Korrik!F15+Gusht!F15+Shtator!F15+Tetor!F15+Nentor!F15+Dhjetor!F15</f>
        <v>250</v>
      </c>
      <c r="F15" s="244">
        <f>Janar!J15+Shkurt!J15+Mars!J15+Prill!J15+Maj!J15+Qershor!J15+Korrik!J15+Gusht!J15+Shtator!J15+Tetor!J15+Nentor!J15+Dhjetor!J15</f>
        <v>12.5</v>
      </c>
      <c r="G15" s="244">
        <f>Janar!K15+Shkurt!K15+Mars!K15+Prill!K15+Maj!K15+Qershor!K15+Korrik!K15+Gusht!K15+Shtator!K15+Tetor!K15+Nentor!K15+Dhjetor!K15</f>
        <v>12.5</v>
      </c>
      <c r="H15" s="244">
        <f>Janar!M15+Shkurt!M15+Mars!M15+Prill!M15+Maj!M15+Qershor!M15+Korrik!M15+Gusht!M15+Shtator!M15+Tetor!M15+Nentor!M15+Dhjetor!M15</f>
        <v>237.5</v>
      </c>
      <c r="I15" s="244">
        <f>Janar!U15+Shkurt!U15+Mars!U15+Prill!U15+Maj!U15+Qershor!U15+Korrik!U15+Gusht!U15+Shtator!U15+Tetor!U15+Nentor!U15+Dhjetor!U15</f>
        <v>6.3</v>
      </c>
      <c r="J15" s="244">
        <f>Janar!V15+Shkurt!V15+Mars!V15+Prill!V15+Maj!V15+Qershor!V15+Korrik!V15+Gusht!V15+Shtator!V15+Tetor!V15+Nentor!V15+Dhjetor!V15</f>
        <v>231.2</v>
      </c>
    </row>
    <row r="16" spans="1:10" ht="20.25" customHeight="1" x14ac:dyDescent="0.2">
      <c r="A16" s="167"/>
      <c r="B16" s="241">
        <v>6</v>
      </c>
      <c r="C16" s="242">
        <f>Shenime!C16</f>
        <v>0</v>
      </c>
      <c r="D16" s="243">
        <f>Shenime!D16</f>
        <v>0</v>
      </c>
      <c r="E16" s="244">
        <f>Janar!F16+Shkurt!F16+Mars!F16+Prill!F16+Maj!F16+Qershor!F16+Korrik!F16+Gusht!F16+Shtator!F16+Tetor!F16+Nentor!F16+Dhjetor!F16</f>
        <v>170</v>
      </c>
      <c r="F16" s="244">
        <f>Janar!J16+Shkurt!J16+Mars!J16+Prill!J16+Maj!J16+Qershor!J16+Korrik!J16+Gusht!J16+Shtator!J16+Tetor!J16+Nentor!J16+Dhjetor!J16</f>
        <v>8.5</v>
      </c>
      <c r="G16" s="244">
        <f>Janar!K16+Shkurt!K16+Mars!K16+Prill!K16+Maj!K16+Qershor!K16+Korrik!K16+Gusht!K16+Shtator!K16+Tetor!K16+Nentor!K16+Dhjetor!K16</f>
        <v>8.5</v>
      </c>
      <c r="H16" s="244">
        <f>Janar!M16+Shkurt!M16+Mars!M16+Prill!M16+Maj!M16+Qershor!M16+Korrik!M16+Gusht!M16+Shtator!M16+Tetor!M16+Nentor!M16+Dhjetor!M16</f>
        <v>161.5</v>
      </c>
      <c r="I16" s="244">
        <f>Janar!U16+Shkurt!U16+Mars!U16+Prill!U16+Maj!U16+Qershor!U16+Korrik!U16+Gusht!U16+Shtator!U16+Tetor!U16+Nentor!U16+Dhjetor!U16</f>
        <v>16.150000000000002</v>
      </c>
      <c r="J16" s="244">
        <f>Janar!V16+Shkurt!V16+Mars!V16+Prill!V16+Maj!V16+Qershor!V16+Korrik!V16+Gusht!V16+Shtator!V16+Tetor!V16+Nentor!V16+Dhjetor!V16</f>
        <v>145.35</v>
      </c>
    </row>
    <row r="17" spans="1:11" ht="20.25" customHeight="1" x14ac:dyDescent="0.2">
      <c r="A17" s="167"/>
      <c r="B17" s="241">
        <v>7</v>
      </c>
      <c r="C17" s="242">
        <f>Shenime!C17</f>
        <v>0</v>
      </c>
      <c r="D17" s="243">
        <f>Shenime!D17</f>
        <v>0</v>
      </c>
      <c r="E17" s="244">
        <f>Janar!F17+Shkurt!F17+Mars!F17+Prill!F17+Maj!F17+Qershor!F17+Korrik!F17+Gusht!F17+Shtator!F17+Tetor!F17+Nentor!F17+Dhjetor!F17</f>
        <v>200</v>
      </c>
      <c r="F17" s="244">
        <f>Janar!J17+Shkurt!J17+Mars!J17+Prill!J17+Maj!J17+Qershor!J17+Korrik!J17+Gusht!J17+Shtator!J17+Tetor!J17+Nentor!J17+Dhjetor!J17</f>
        <v>10</v>
      </c>
      <c r="G17" s="244">
        <f>Janar!K17+Shkurt!K17+Mars!K17+Prill!K17+Maj!K17+Qershor!K17+Korrik!K17+Gusht!K17+Shtator!K17+Tetor!K17+Nentor!K17+Dhjetor!K17</f>
        <v>10</v>
      </c>
      <c r="H17" s="244">
        <f>Janar!M17+Shkurt!M17+Mars!M17+Prill!M17+Maj!M17+Qershor!M17+Korrik!M17+Gusht!M17+Shtator!M17+Tetor!M17+Nentor!M17+Dhjetor!M17</f>
        <v>190</v>
      </c>
      <c r="I17" s="244">
        <f>Janar!U17+Shkurt!U17+Mars!U17+Prill!U17+Maj!U17+Qershor!U17+Korrik!U17+Gusht!U17+Shtator!U17+Tetor!U17+Nentor!U17+Dhjetor!U17</f>
        <v>4.4000000000000004</v>
      </c>
      <c r="J17" s="244">
        <f>Janar!V17+Shkurt!V17+Mars!V17+Prill!V17+Maj!V17+Qershor!V17+Korrik!V17+Gusht!V17+Shtator!V17+Tetor!V17+Nentor!V17+Dhjetor!V17</f>
        <v>185.6</v>
      </c>
    </row>
    <row r="18" spans="1:11" ht="20.25" customHeight="1" x14ac:dyDescent="0.2">
      <c r="A18" s="167"/>
      <c r="B18" s="241">
        <v>8</v>
      </c>
      <c r="C18" s="242">
        <f>Shenime!C18</f>
        <v>0</v>
      </c>
      <c r="D18" s="243">
        <f>Shenime!D18</f>
        <v>0</v>
      </c>
      <c r="E18" s="244">
        <f>Janar!F18+Shkurt!F18+Mars!F18+Prill!F18+Maj!F18+Qershor!F18+Korrik!F18+Gusht!F18+Shtator!F18+Tetor!F18+Nentor!F18+Dhjetor!F18</f>
        <v>100</v>
      </c>
      <c r="F18" s="244">
        <f>Janar!J18+Shkurt!J18+Mars!J18+Prill!J18+Maj!J18+Qershor!J18+Korrik!J18+Gusht!J18+Shtator!J18+Tetor!J18+Nentor!J18+Dhjetor!J18</f>
        <v>5</v>
      </c>
      <c r="G18" s="244">
        <f>Janar!K18+Shkurt!K18+Mars!K18+Prill!K18+Maj!K18+Qershor!K18+Korrik!K18+Gusht!K18+Shtator!K18+Tetor!K18+Nentor!K18+Dhjetor!K18</f>
        <v>5</v>
      </c>
      <c r="H18" s="244">
        <f>Janar!M18+Shkurt!M18+Mars!M18+Prill!M18+Maj!M18+Qershor!M18+Korrik!M18+Gusht!M18+Shtator!M18+Tetor!M18+Nentor!M18+Dhjetor!M18</f>
        <v>95</v>
      </c>
      <c r="I18" s="244">
        <f>Janar!U18+Shkurt!U18+Mars!U18+Prill!U18+Maj!U18+Qershor!U18+Korrik!U18+Gusht!U18+Shtator!U18+Tetor!U18+Nentor!U18+Dhjetor!U18</f>
        <v>0.6</v>
      </c>
      <c r="J18" s="244">
        <f>Janar!V18+Shkurt!V18+Mars!V18+Prill!V18+Maj!V18+Qershor!V18+Korrik!V18+Gusht!V18+Shtator!V18+Tetor!V18+Nentor!V18+Dhjetor!V18</f>
        <v>94.4</v>
      </c>
    </row>
    <row r="19" spans="1:11" ht="20.25" customHeight="1" x14ac:dyDescent="0.2">
      <c r="A19" s="167"/>
      <c r="B19" s="241">
        <v>9</v>
      </c>
      <c r="C19" s="242">
        <f>Shenime!C19</f>
        <v>0</v>
      </c>
      <c r="D19" s="243">
        <f>Shenime!D19</f>
        <v>0</v>
      </c>
      <c r="E19" s="244">
        <f>Janar!F19+Shkurt!F19+Mars!F19+Prill!F19+Maj!F19+Qershor!F19+Korrik!F19+Gusht!F19+Shtator!F19+Tetor!F19+Nentor!F19+Dhjetor!F19</f>
        <v>200</v>
      </c>
      <c r="F19" s="244">
        <f>Janar!J19+Shkurt!J19+Mars!J19+Prill!J19+Maj!J19+Qershor!J19+Korrik!J19+Gusht!J19+Shtator!J19+Tetor!J19+Nentor!J19+Dhjetor!J19</f>
        <v>10</v>
      </c>
      <c r="G19" s="244">
        <f>Janar!K19+Shkurt!K19+Mars!K19+Prill!K19+Maj!K19+Qershor!K19+Korrik!K19+Gusht!K19+Shtator!K19+Tetor!K19+Nentor!K19+Dhjetor!K19</f>
        <v>10</v>
      </c>
      <c r="H19" s="244">
        <f>Janar!M19+Shkurt!M19+Mars!M19+Prill!M19+Maj!M19+Qershor!M19+Korrik!M19+Gusht!M19+Shtator!M19+Tetor!M19+Nentor!M19+Dhjetor!M19</f>
        <v>190</v>
      </c>
      <c r="I19" s="244">
        <f>Janar!U19+Shkurt!U19+Mars!U19+Prill!U19+Maj!U19+Qershor!U19+Korrik!U19+Gusht!U19+Shtator!U19+Tetor!U19+Nentor!U19+Dhjetor!U19</f>
        <v>4.4000000000000004</v>
      </c>
      <c r="J19" s="244">
        <f>Janar!V19+Shkurt!V19+Mars!V19+Prill!V19+Maj!V19+Qershor!V19+Korrik!V19+Gusht!V19+Shtator!V19+Tetor!V19+Nentor!V19+Dhjetor!V19</f>
        <v>185.6</v>
      </c>
    </row>
    <row r="20" spans="1:11" ht="20.25" customHeight="1" x14ac:dyDescent="0.2">
      <c r="A20" s="167"/>
      <c r="B20" s="241">
        <v>10</v>
      </c>
      <c r="C20" s="242">
        <f>Shenime!C20</f>
        <v>0</v>
      </c>
      <c r="D20" s="243">
        <f>Shenime!D20</f>
        <v>0</v>
      </c>
      <c r="E20" s="244">
        <f>Janar!F21+Shkurt!F20+Mars!F20+Prill!F20+Maj!F20+Qershor!F20+Korrik!F20+Gusht!F20+Shtator!F20+Tetor!F20+Nentor!F20+Dhjetor!F20</f>
        <v>0</v>
      </c>
      <c r="F20" s="244">
        <f>Janar!J21+Shkurt!J20+Mars!J20+Prill!J20+Maj!J20+Qershor!J20+Korrik!J20+Gusht!J20+Shtator!J20+Tetor!J20+Nentor!J20+Dhjetor!J20</f>
        <v>0</v>
      </c>
      <c r="G20" s="244">
        <f>Janar!K21+Shkurt!K20+Mars!K20+Prill!K20+Maj!K20+Qershor!K20+Korrik!K20+Gusht!K20+Shtator!K20+Tetor!K20+Nentor!K20+Dhjetor!K20</f>
        <v>0</v>
      </c>
      <c r="H20" s="244">
        <f>Janar!M21+Shkurt!M20+Mars!M20+Prill!M20+Maj!M20+Qershor!M20+Korrik!M20+Gusht!M20+Shtator!M20+Tetor!M20+Nentor!M20+Dhjetor!M20</f>
        <v>0</v>
      </c>
      <c r="I20" s="244">
        <f>Janar!U21+Shkurt!U20+Mars!U20+Prill!U20+Maj!U20+Qershor!U20+Korrik!U20+Gusht!U20+Shtator!U20+Tetor!U20+Nentor!U20+Dhjetor!U20</f>
        <v>0</v>
      </c>
      <c r="J20" s="244">
        <f>Janar!V21+Shkurt!V20+Mars!V20+Prill!V20+Maj!V20+Qershor!V20+Korrik!V20+Gusht!V20+Shtator!V20+Tetor!V20+Nentor!V20+Dhjetor!V20</f>
        <v>0</v>
      </c>
    </row>
    <row r="21" spans="1:11" ht="4.5" customHeight="1" x14ac:dyDescent="0.2">
      <c r="A21" s="167"/>
      <c r="B21" s="167"/>
      <c r="C21" s="167"/>
      <c r="D21" s="167"/>
      <c r="E21" s="170"/>
      <c r="F21" s="170"/>
      <c r="G21" s="170"/>
      <c r="H21" s="170"/>
      <c r="I21" s="170"/>
      <c r="J21" s="170"/>
      <c r="K21" s="167"/>
    </row>
    <row r="22" spans="1:11" ht="21" customHeight="1" x14ac:dyDescent="0.2">
      <c r="A22" s="167"/>
      <c r="B22" s="169"/>
      <c r="C22" s="348" t="s">
        <v>59</v>
      </c>
      <c r="D22" s="348"/>
      <c r="E22" s="245">
        <f>SUM(E11:E20)</f>
        <v>1680</v>
      </c>
      <c r="F22" s="245">
        <f>SUM(F11:F20)</f>
        <v>84</v>
      </c>
      <c r="G22" s="245"/>
      <c r="H22" s="245">
        <f>SUM(H11:H20)</f>
        <v>1596</v>
      </c>
      <c r="I22" s="245">
        <f>SUM(I11:I20)</f>
        <v>47.93</v>
      </c>
      <c r="J22" s="245">
        <f>SUM(J11:J20)</f>
        <v>1548.0699999999997</v>
      </c>
    </row>
    <row r="23" spans="1:11" ht="17.45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1:11" ht="17.45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</row>
    <row r="25" spans="1:11" ht="17.4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</row>
    <row r="26" spans="1:11" ht="17.45" customHeight="1" x14ac:dyDescent="0.25">
      <c r="B26" s="21" t="s">
        <v>60</v>
      </c>
      <c r="C26" s="21"/>
      <c r="D26" s="21"/>
      <c r="E26" s="21"/>
      <c r="F26" s="22"/>
      <c r="G26" s="22"/>
      <c r="H26" s="21"/>
      <c r="I26" s="21" t="s">
        <v>58</v>
      </c>
      <c r="J26" s="22"/>
    </row>
    <row r="27" spans="1:11" ht="36" customHeight="1" x14ac:dyDescent="0.25">
      <c r="B27" s="56"/>
      <c r="C27" s="57"/>
      <c r="D27" s="57"/>
      <c r="E27" s="57"/>
      <c r="F27" s="21"/>
      <c r="G27" s="21"/>
      <c r="H27" s="23"/>
      <c r="I27" s="57"/>
      <c r="J27" s="57"/>
    </row>
    <row r="28" spans="1:11" x14ac:dyDescent="0.2">
      <c r="B28" s="20"/>
      <c r="C28" s="20"/>
      <c r="D28" s="20"/>
      <c r="E28" s="20"/>
      <c r="F28" s="20"/>
      <c r="G28" s="20"/>
      <c r="H28" s="20"/>
      <c r="I28" s="20"/>
      <c r="J28" s="20"/>
    </row>
    <row r="29" spans="1:11" x14ac:dyDescent="0.2">
      <c r="B29" s="20"/>
      <c r="C29" s="20"/>
      <c r="D29" s="20"/>
      <c r="E29" s="20"/>
      <c r="F29" s="20"/>
      <c r="G29" s="20"/>
      <c r="H29" s="20"/>
      <c r="I29" s="20"/>
      <c r="J29" s="20"/>
    </row>
    <row r="30" spans="1:11" x14ac:dyDescent="0.2">
      <c r="B30" s="20"/>
      <c r="C30" s="20"/>
      <c r="D30" s="20"/>
      <c r="E30" s="20"/>
      <c r="F30" s="20"/>
      <c r="G30" s="20"/>
      <c r="H30" s="20"/>
      <c r="I30" s="20"/>
      <c r="J30" s="20"/>
    </row>
    <row r="31" spans="1:11" x14ac:dyDescent="0.2"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2">
      <c r="B32" s="20"/>
      <c r="C32" s="20"/>
      <c r="D32" s="20"/>
      <c r="E32" s="20"/>
      <c r="F32" s="20"/>
      <c r="G32" s="20"/>
      <c r="H32" s="20"/>
      <c r="I32" s="20"/>
      <c r="J32" s="20"/>
    </row>
    <row r="33" spans="2:10" x14ac:dyDescent="0.2">
      <c r="B33" s="20"/>
      <c r="C33" s="20"/>
      <c r="D33" s="20"/>
      <c r="E33" s="20"/>
      <c r="F33" s="20"/>
      <c r="G33" s="20"/>
      <c r="H33" s="20"/>
      <c r="I33" s="20"/>
      <c r="J33" s="20"/>
    </row>
    <row r="34" spans="2:10" x14ac:dyDescent="0.2">
      <c r="B34" s="20"/>
      <c r="C34" s="20"/>
      <c r="D34" s="20"/>
      <c r="E34" s="20"/>
      <c r="F34" s="20"/>
      <c r="G34" s="20"/>
      <c r="H34" s="20"/>
      <c r="I34" s="20"/>
      <c r="J34" s="20"/>
    </row>
    <row r="35" spans="2:10" x14ac:dyDescent="0.2">
      <c r="B35" s="20"/>
      <c r="C35" s="20"/>
      <c r="D35" s="20"/>
      <c r="E35" s="20"/>
      <c r="F35" s="20"/>
      <c r="G35" s="20"/>
      <c r="H35" s="20"/>
      <c r="I35" s="20"/>
      <c r="J35" s="20"/>
    </row>
    <row r="36" spans="2:10" x14ac:dyDescent="0.2">
      <c r="B36" s="20"/>
      <c r="C36" s="20"/>
      <c r="D36" s="20"/>
      <c r="E36" s="20"/>
      <c r="F36" s="20"/>
      <c r="G36" s="20"/>
      <c r="H36" s="20"/>
      <c r="I36" s="20"/>
      <c r="J36" s="20"/>
    </row>
    <row r="37" spans="2:10" x14ac:dyDescent="0.2">
      <c r="B37" s="20"/>
      <c r="C37" s="20"/>
      <c r="D37" s="20"/>
      <c r="E37" s="20"/>
      <c r="F37" s="20"/>
      <c r="G37" s="20"/>
      <c r="H37" s="20"/>
      <c r="I37" s="20"/>
      <c r="J37" s="20"/>
    </row>
    <row r="38" spans="2:10" x14ac:dyDescent="0.2">
      <c r="B38" s="20"/>
      <c r="C38" s="20"/>
      <c r="D38" s="20"/>
      <c r="E38" s="20"/>
      <c r="F38" s="20"/>
      <c r="G38" s="20"/>
      <c r="H38" s="20"/>
      <c r="I38" s="20"/>
      <c r="J38" s="20"/>
    </row>
  </sheetData>
  <autoFilter ref="E10:E20"/>
  <customSheetViews>
    <customSheetView guid="{09AFD497-C868-4385-9AB3-7F1632F55388}" showGridLines="0" zeroValues="0" hiddenRows="1" showRuler="0">
      <pane xSplit="4" ySplit="10" topLeftCell="E109" activePane="bottomRight" state="frozen"/>
      <selection pane="bottomRight" activeCell="D109" sqref="D109"/>
      <pageMargins left="0.3" right="0.3" top="0.3" bottom="0.3" header="1" footer="1"/>
      <printOptions horizontalCentered="1"/>
      <pageSetup paperSize="9" scale="85" orientation="portrait" r:id="rId1"/>
      <headerFooter alignWithMargins="0"/>
    </customSheetView>
    <customSheetView guid="{CE29130D-F54B-4517-B637-01D908CB90D3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1" footer="1"/>
      <printOptions horizontalCentered="1"/>
      <pageSetup paperSize="9" scale="85" orientation="portrait" r:id="rId2"/>
      <headerFooter alignWithMargins="0"/>
      <autoFilter ref="B1"/>
    </customSheetView>
  </customSheetViews>
  <mergeCells count="5">
    <mergeCell ref="C22:D22"/>
    <mergeCell ref="B2:D2"/>
    <mergeCell ref="B3:D3"/>
    <mergeCell ref="B4:D5"/>
    <mergeCell ref="B9:J9"/>
  </mergeCells>
  <phoneticPr fontId="0" type="noConversion"/>
  <hyperlinks>
    <hyperlink ref="C1" location="Permbajtja!A1" display="Kthehu prapa"/>
  </hyperlinks>
  <printOptions horizontalCentered="1"/>
  <pageMargins left="0.3" right="0.3" top="0.3" bottom="0.3" header="1" footer="1"/>
  <pageSetup paperSize="9"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20"/>
  <sheetViews>
    <sheetView showGridLines="0" workbookViewId="0">
      <pane xSplit="3" ySplit="10" topLeftCell="D17" activePane="bottomRight" state="frozen"/>
      <selection pane="topRight" activeCell="D1" sqref="D1"/>
      <selection pane="bottomLeft" activeCell="A11" sqref="A11"/>
      <selection pane="bottomRight" activeCell="C1" sqref="C1"/>
    </sheetView>
  </sheetViews>
  <sheetFormatPr defaultRowHeight="12.75" x14ac:dyDescent="0.2"/>
  <cols>
    <col min="1" max="1" width="2.7109375" style="1" customWidth="1"/>
    <col min="2" max="2" width="5.28515625" style="1" customWidth="1"/>
    <col min="3" max="3" width="19.7109375" style="1" customWidth="1"/>
    <col min="4" max="4" width="15.7109375" style="1" customWidth="1"/>
    <col min="5" max="5" width="20.7109375" style="1" customWidth="1"/>
    <col min="6" max="6" width="15.5703125" style="1" customWidth="1"/>
    <col min="7" max="8" width="21.7109375" style="1" customWidth="1"/>
    <col min="9" max="16384" width="9.140625" style="1"/>
  </cols>
  <sheetData>
    <row r="1" spans="2:11" ht="15" customHeight="1" x14ac:dyDescent="0.2">
      <c r="C1" s="8" t="s">
        <v>14</v>
      </c>
    </row>
    <row r="2" spans="2:11" ht="21" customHeight="1" x14ac:dyDescent="0.2">
      <c r="B2" s="5"/>
      <c r="C2" s="58" t="s">
        <v>19</v>
      </c>
      <c r="D2" s="5"/>
      <c r="E2" s="5"/>
    </row>
    <row r="3" spans="2:11" ht="18" customHeight="1" x14ac:dyDescent="0.2">
      <c r="B3" s="5"/>
      <c r="C3" s="98" t="s">
        <v>15</v>
      </c>
      <c r="D3" s="294" t="s">
        <v>269</v>
      </c>
      <c r="E3" s="294"/>
      <c r="F3" s="98" t="s">
        <v>137</v>
      </c>
      <c r="G3" s="294" t="s">
        <v>267</v>
      </c>
      <c r="H3" s="294"/>
    </row>
    <row r="4" spans="2:11" ht="18" customHeight="1" x14ac:dyDescent="0.2">
      <c r="B4" s="5"/>
      <c r="C4" s="98" t="s">
        <v>16</v>
      </c>
      <c r="D4" s="294" t="s">
        <v>254</v>
      </c>
      <c r="E4" s="294"/>
      <c r="F4" s="98" t="s">
        <v>136</v>
      </c>
      <c r="G4" s="294" t="s">
        <v>268</v>
      </c>
      <c r="H4" s="294"/>
    </row>
    <row r="5" spans="2:11" ht="18" customHeight="1" x14ac:dyDescent="0.2">
      <c r="B5" s="5"/>
      <c r="C5" s="98" t="s">
        <v>138</v>
      </c>
      <c r="D5" s="294" t="s">
        <v>270</v>
      </c>
      <c r="E5" s="294"/>
    </row>
    <row r="6" spans="2:11" ht="18" customHeight="1" x14ac:dyDescent="0.2">
      <c r="B6" s="5"/>
      <c r="C6" s="98" t="s">
        <v>140</v>
      </c>
      <c r="D6" s="294" t="s">
        <v>256</v>
      </c>
      <c r="E6" s="294"/>
      <c r="F6" s="294"/>
    </row>
    <row r="7" spans="2:11" ht="18" customHeight="1" x14ac:dyDescent="0.2">
      <c r="B7" s="5"/>
      <c r="C7" s="100" t="s">
        <v>139</v>
      </c>
      <c r="D7" s="294" t="s">
        <v>257</v>
      </c>
      <c r="E7" s="294"/>
      <c r="F7" s="294"/>
      <c r="G7" s="99" t="s">
        <v>17</v>
      </c>
      <c r="H7" s="160">
        <v>2019</v>
      </c>
    </row>
    <row r="8" spans="2:11" ht="9" customHeight="1" x14ac:dyDescent="0.2">
      <c r="B8" s="5"/>
      <c r="C8" s="5"/>
      <c r="D8" s="5"/>
      <c r="E8" s="5"/>
      <c r="F8" s="5"/>
      <c r="G8" s="4"/>
      <c r="H8" s="4"/>
    </row>
    <row r="9" spans="2:11" ht="21.75" customHeight="1" x14ac:dyDescent="0.2">
      <c r="B9" s="41" t="s">
        <v>18</v>
      </c>
      <c r="C9" s="5"/>
      <c r="D9" s="5"/>
      <c r="E9" s="5"/>
      <c r="F9" s="5"/>
      <c r="G9" s="5"/>
      <c r="H9" s="5"/>
    </row>
    <row r="10" spans="2:11" ht="51" customHeight="1" x14ac:dyDescent="0.2">
      <c r="B10" s="211" t="s">
        <v>0</v>
      </c>
      <c r="C10" s="211" t="s">
        <v>4</v>
      </c>
      <c r="D10" s="211" t="s">
        <v>265</v>
      </c>
      <c r="E10" s="211" t="s">
        <v>134</v>
      </c>
      <c r="F10" s="211" t="s">
        <v>135</v>
      </c>
      <c r="G10" s="211" t="s">
        <v>93</v>
      </c>
      <c r="H10" s="211" t="s">
        <v>94</v>
      </c>
      <c r="I10" s="9"/>
      <c r="J10" s="9"/>
      <c r="K10" s="9"/>
    </row>
    <row r="11" spans="2:11" ht="27" customHeight="1" x14ac:dyDescent="0.2">
      <c r="B11" s="205">
        <v>1</v>
      </c>
      <c r="C11" s="293" t="s">
        <v>258</v>
      </c>
      <c r="D11" s="207" t="s">
        <v>253</v>
      </c>
      <c r="E11" s="208" t="s">
        <v>263</v>
      </c>
      <c r="F11" s="207" t="s">
        <v>261</v>
      </c>
      <c r="G11" s="208" t="s">
        <v>262</v>
      </c>
      <c r="H11" s="208" t="s">
        <v>264</v>
      </c>
      <c r="I11" s="9"/>
      <c r="J11" s="9"/>
      <c r="K11" s="9"/>
    </row>
    <row r="12" spans="2:11" ht="27" customHeight="1" x14ac:dyDescent="0.2">
      <c r="B12" s="205">
        <v>2</v>
      </c>
      <c r="C12" s="293"/>
      <c r="D12" s="207"/>
      <c r="E12" s="208"/>
      <c r="F12" s="207"/>
      <c r="G12" s="208"/>
      <c r="H12" s="208"/>
      <c r="I12" s="9"/>
      <c r="J12" s="9"/>
      <c r="K12" s="9"/>
    </row>
    <row r="13" spans="2:11" ht="27" customHeight="1" x14ac:dyDescent="0.2">
      <c r="B13" s="205">
        <v>3</v>
      </c>
      <c r="C13" s="293"/>
      <c r="D13" s="207"/>
      <c r="E13" s="208"/>
      <c r="F13" s="207"/>
      <c r="G13" s="208"/>
      <c r="H13" s="208"/>
      <c r="I13" s="9"/>
      <c r="J13" s="9"/>
      <c r="K13" s="9"/>
    </row>
    <row r="14" spans="2:11" ht="27" customHeight="1" x14ac:dyDescent="0.2">
      <c r="B14" s="205">
        <v>4</v>
      </c>
      <c r="C14" s="293"/>
      <c r="D14" s="207"/>
      <c r="E14" s="208"/>
      <c r="F14" s="207"/>
      <c r="G14" s="208"/>
      <c r="H14" s="208"/>
      <c r="I14" s="9"/>
      <c r="J14" s="9"/>
      <c r="K14" s="9"/>
    </row>
    <row r="15" spans="2:11" ht="27" customHeight="1" x14ac:dyDescent="0.2">
      <c r="B15" s="205">
        <v>5</v>
      </c>
      <c r="C15" s="293"/>
      <c r="D15" s="207"/>
      <c r="E15" s="208"/>
      <c r="F15" s="207"/>
      <c r="G15" s="208"/>
      <c r="H15" s="208"/>
      <c r="I15" s="9"/>
      <c r="J15" s="9"/>
      <c r="K15" s="9"/>
    </row>
    <row r="16" spans="2:11" ht="27" customHeight="1" x14ac:dyDescent="0.2">
      <c r="B16" s="205">
        <v>6</v>
      </c>
      <c r="C16" s="293"/>
      <c r="D16" s="207"/>
      <c r="E16" s="207"/>
      <c r="F16" s="207"/>
      <c r="G16" s="208"/>
      <c r="H16" s="208"/>
      <c r="I16" s="9"/>
      <c r="J16" s="9"/>
      <c r="K16" s="9"/>
    </row>
    <row r="17" spans="2:11" ht="27" customHeight="1" x14ac:dyDescent="0.2">
      <c r="B17" s="205">
        <v>7</v>
      </c>
      <c r="C17" s="293"/>
      <c r="D17" s="207"/>
      <c r="E17" s="208"/>
      <c r="F17" s="207"/>
      <c r="G17" s="208"/>
      <c r="H17" s="208"/>
      <c r="I17" s="9"/>
      <c r="J17" s="9"/>
      <c r="K17" s="9"/>
    </row>
    <row r="18" spans="2:11" ht="27" customHeight="1" x14ac:dyDescent="0.2">
      <c r="B18" s="205">
        <v>8</v>
      </c>
      <c r="C18" s="293"/>
      <c r="D18" s="208"/>
      <c r="E18" s="208"/>
      <c r="F18" s="207"/>
      <c r="G18" s="208"/>
      <c r="H18" s="208"/>
      <c r="I18" s="9"/>
      <c r="J18" s="9"/>
      <c r="K18" s="9"/>
    </row>
    <row r="19" spans="2:11" ht="27" customHeight="1" x14ac:dyDescent="0.2">
      <c r="B19" s="205">
        <v>9</v>
      </c>
      <c r="C19" s="293"/>
      <c r="D19" s="208"/>
      <c r="E19" s="208"/>
      <c r="F19" s="207"/>
      <c r="G19" s="208"/>
      <c r="H19" s="208"/>
      <c r="I19" s="9"/>
      <c r="J19" s="9"/>
      <c r="K19" s="9"/>
    </row>
    <row r="20" spans="2:11" ht="27" customHeight="1" x14ac:dyDescent="0.2">
      <c r="B20" s="205">
        <v>10</v>
      </c>
      <c r="C20" s="293"/>
      <c r="D20" s="208"/>
      <c r="E20" s="208"/>
      <c r="F20" s="207"/>
      <c r="G20" s="208"/>
      <c r="H20" s="208"/>
      <c r="I20" s="9"/>
      <c r="J20" s="9"/>
      <c r="K20" s="9"/>
    </row>
  </sheetData>
  <customSheetViews>
    <customSheetView guid="{09AFD497-C868-4385-9AB3-7F1632F55388}" showGridLines="0" showRuler="0">
      <pane xSplit="6" ySplit="10" topLeftCell="G11" activePane="bottomRight" state="frozen"/>
      <selection pane="bottomRight" activeCell="C11" sqref="C11"/>
      <pageMargins left="0.5" right="0.5" top="0.5" bottom="0.5" header="0.5" footer="0.5"/>
      <printOptions horizontalCentered="1"/>
      <pageSetup paperSize="9" orientation="portrait" verticalDpi="0" r:id="rId1"/>
      <headerFooter alignWithMargins="0"/>
    </customSheetView>
    <customSheetView guid="{CE29130D-F54B-4517-B637-01D908CB90D3}" showGridLines="0" showRuler="0">
      <pane xSplit="3" ySplit="10" topLeftCell="D11" activePane="bottomRight" state="frozen"/>
      <selection pane="bottomRight" activeCell="C1" sqref="C1"/>
      <pageMargins left="0.25" right="0.25" top="0.75" bottom="0.75" header="0.5" footer="0.5"/>
      <printOptions horizontalCentered="1"/>
      <pageSetup paperSize="9" scale="80" orientation="portrait" verticalDpi="0" r:id="rId2"/>
      <headerFooter alignWithMargins="0"/>
    </customSheetView>
  </customSheetViews>
  <mergeCells count="7">
    <mergeCell ref="D6:F6"/>
    <mergeCell ref="G4:H4"/>
    <mergeCell ref="G3:H3"/>
    <mergeCell ref="D7:F7"/>
    <mergeCell ref="D3:E3"/>
    <mergeCell ref="D4:E4"/>
    <mergeCell ref="D5:E5"/>
  </mergeCells>
  <phoneticPr fontId="0" type="noConversion"/>
  <hyperlinks>
    <hyperlink ref="C1" location="Permbajtja!A1" display="Kthehu prapa"/>
  </hyperlinks>
  <printOptions horizontalCentered="1"/>
  <pageMargins left="0.25" right="0.25" top="0.75" bottom="0.75" header="0.5" footer="0.5"/>
  <pageSetup paperSize="9" scale="80" orientation="portrait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B1:O28"/>
  <sheetViews>
    <sheetView showGridLines="0" showZeros="0" workbookViewId="0">
      <pane xSplit="5" ySplit="9" topLeftCell="F10" activePane="bottomRight" state="frozen"/>
      <selection activeCell="D29" sqref="D29"/>
      <selection pane="topRight" activeCell="D29" sqref="D29"/>
      <selection pane="bottomLeft" activeCell="D29" sqref="D29"/>
      <selection pane="bottomRight" activeCell="E12" sqref="E12"/>
    </sheetView>
  </sheetViews>
  <sheetFormatPr defaultRowHeight="12.75" x14ac:dyDescent="0.2"/>
  <cols>
    <col min="1" max="1" width="1.7109375" customWidth="1"/>
    <col min="2" max="2" width="13.7109375" customWidth="1"/>
    <col min="3" max="3" width="13.7109375" hidden="1" customWidth="1"/>
    <col min="4" max="4" width="11.7109375" customWidth="1"/>
    <col min="5" max="6" width="10.7109375" customWidth="1"/>
    <col min="7" max="7" width="11.7109375" customWidth="1"/>
    <col min="8" max="9" width="10.7109375" customWidth="1"/>
    <col min="10" max="10" width="11.7109375" customWidth="1"/>
    <col min="11" max="11" width="11.7109375" hidden="1" customWidth="1"/>
    <col min="12" max="13" width="10.7109375" customWidth="1"/>
    <col min="14" max="15" width="11.7109375" customWidth="1"/>
    <col min="16" max="16" width="3" customWidth="1"/>
  </cols>
  <sheetData>
    <row r="1" spans="2:15" ht="15.75" x14ac:dyDescent="0.25">
      <c r="B1" s="8"/>
      <c r="C1" s="8"/>
      <c r="D1" s="24"/>
      <c r="E1" s="24"/>
      <c r="N1" s="24"/>
    </row>
    <row r="2" spans="2:15" ht="27" customHeight="1" x14ac:dyDescent="0.2">
      <c r="B2" s="25" t="s">
        <v>62</v>
      </c>
      <c r="C2" s="25"/>
      <c r="D2" s="4"/>
      <c r="F2" s="360" t="s">
        <v>61</v>
      </c>
      <c r="G2" s="360"/>
      <c r="H2" s="360"/>
      <c r="I2" s="360"/>
      <c r="J2" s="360"/>
      <c r="K2" s="360"/>
      <c r="L2" s="360"/>
      <c r="M2" s="25" t="s">
        <v>63</v>
      </c>
      <c r="N2" s="4"/>
      <c r="O2" s="4"/>
    </row>
    <row r="3" spans="2:15" ht="18" customHeight="1" x14ac:dyDescent="0.2">
      <c r="B3" s="59">
        <f>Shenime!H7</f>
        <v>2019</v>
      </c>
      <c r="C3" s="108"/>
      <c r="D3" s="2"/>
      <c r="E3" s="69">
        <v>7</v>
      </c>
      <c r="F3" s="2"/>
      <c r="G3" s="246" t="s">
        <v>64</v>
      </c>
      <c r="H3" s="363" t="str">
        <f>Shenime!D3</f>
        <v>ASTRONIK</v>
      </c>
      <c r="I3" s="363"/>
      <c r="J3" s="363"/>
      <c r="K3" s="113"/>
      <c r="L3" s="26"/>
      <c r="M3" s="364">
        <f>VLOOKUP($E$3,Personale,3,TRUE)</f>
        <v>0</v>
      </c>
      <c r="N3" s="365"/>
      <c r="O3" s="366"/>
    </row>
    <row r="4" spans="2:15" ht="18" customHeight="1" x14ac:dyDescent="0.2">
      <c r="B4" s="27" t="s">
        <v>65</v>
      </c>
      <c r="C4" s="27"/>
      <c r="D4" s="26"/>
      <c r="E4" s="26"/>
      <c r="F4" s="26"/>
      <c r="G4" s="246" t="s">
        <v>66</v>
      </c>
      <c r="H4" s="363" t="str">
        <f>Shenime!D4</f>
        <v>80258348/600456645</v>
      </c>
      <c r="I4" s="363"/>
      <c r="J4" s="363"/>
      <c r="K4" s="113"/>
      <c r="L4" s="26"/>
      <c r="M4" s="26"/>
      <c r="N4" s="26"/>
      <c r="O4" s="26"/>
    </row>
    <row r="5" spans="2:15" ht="18" customHeight="1" x14ac:dyDescent="0.2">
      <c r="B5" s="364">
        <f>VLOOKUP($E$3,Personale,2,TRUE)</f>
        <v>0</v>
      </c>
      <c r="C5" s="365"/>
      <c r="D5" s="365"/>
      <c r="E5" s="366"/>
      <c r="F5" s="26"/>
      <c r="G5" s="246" t="s">
        <v>67</v>
      </c>
      <c r="H5" s="362" t="str">
        <f>Shenime!D6</f>
        <v>MALISHEVË</v>
      </c>
      <c r="I5" s="363"/>
      <c r="J5" s="363"/>
      <c r="K5" s="113"/>
      <c r="L5" s="26"/>
      <c r="M5" s="26"/>
      <c r="N5" s="26"/>
      <c r="O5" s="26"/>
    </row>
    <row r="6" spans="2:15" ht="4.5" customHeigh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25.5" customHeight="1" x14ac:dyDescent="0.2">
      <c r="B7" s="367" t="s">
        <v>30</v>
      </c>
      <c r="C7" s="247"/>
      <c r="D7" s="361" t="s">
        <v>68</v>
      </c>
      <c r="E7" s="361" t="s">
        <v>69</v>
      </c>
      <c r="F7" s="361"/>
      <c r="G7" s="248" t="s">
        <v>70</v>
      </c>
      <c r="H7" s="361" t="s">
        <v>71</v>
      </c>
      <c r="I7" s="361"/>
      <c r="J7" s="248" t="s">
        <v>72</v>
      </c>
      <c r="K7" s="248"/>
      <c r="L7" s="361" t="s">
        <v>73</v>
      </c>
      <c r="M7" s="361"/>
      <c r="N7" s="361" t="s">
        <v>74</v>
      </c>
      <c r="O7" s="361"/>
    </row>
    <row r="8" spans="2:15" ht="18" customHeight="1" x14ac:dyDescent="0.2">
      <c r="B8" s="367"/>
      <c r="C8" s="247"/>
      <c r="D8" s="361"/>
      <c r="E8" s="248" t="s">
        <v>75</v>
      </c>
      <c r="F8" s="248" t="s">
        <v>76</v>
      </c>
      <c r="G8" s="248" t="s">
        <v>75</v>
      </c>
      <c r="H8" s="248" t="s">
        <v>75</v>
      </c>
      <c r="I8" s="248" t="s">
        <v>76</v>
      </c>
      <c r="J8" s="248" t="s">
        <v>75</v>
      </c>
      <c r="K8" s="248" t="s">
        <v>166</v>
      </c>
      <c r="L8" s="248" t="s">
        <v>75</v>
      </c>
      <c r="M8" s="248" t="s">
        <v>76</v>
      </c>
      <c r="N8" s="248" t="s">
        <v>75</v>
      </c>
      <c r="O8" s="248" t="s">
        <v>76</v>
      </c>
    </row>
    <row r="9" spans="2:15" ht="12" customHeight="1" x14ac:dyDescent="0.2">
      <c r="B9" s="249" t="s">
        <v>77</v>
      </c>
      <c r="C9" s="249"/>
      <c r="D9" s="250" t="s">
        <v>78</v>
      </c>
      <c r="E9" s="250" t="s">
        <v>79</v>
      </c>
      <c r="F9" s="250" t="s">
        <v>80</v>
      </c>
      <c r="G9" s="250" t="s">
        <v>81</v>
      </c>
      <c r="H9" s="250" t="s">
        <v>82</v>
      </c>
      <c r="I9" s="250" t="s">
        <v>83</v>
      </c>
      <c r="J9" s="250" t="s">
        <v>84</v>
      </c>
      <c r="K9" s="250"/>
      <c r="L9" s="250" t="s">
        <v>85</v>
      </c>
      <c r="M9" s="250" t="s">
        <v>86</v>
      </c>
      <c r="N9" s="250" t="s">
        <v>87</v>
      </c>
      <c r="O9" s="250" t="s">
        <v>88</v>
      </c>
    </row>
    <row r="10" spans="2:15" ht="16.5" customHeight="1" x14ac:dyDescent="0.2">
      <c r="B10" s="251" t="s">
        <v>31</v>
      </c>
      <c r="C10" s="205">
        <f>VLOOKUP($E$3,Janar,3,TRUE)</f>
        <v>0</v>
      </c>
      <c r="D10" s="252">
        <f>VLOOKUP($E$3,Janar,4,TRUE)</f>
        <v>0</v>
      </c>
      <c r="E10" s="252">
        <f>VLOOKUP($E$3,Janar,8,TRUE)</f>
        <v>0</v>
      </c>
      <c r="F10" s="252">
        <f>E10</f>
        <v>0</v>
      </c>
      <c r="G10" s="252">
        <f>VLOOKUP($E$3,Janar,11,TRUE)</f>
        <v>0</v>
      </c>
      <c r="H10" s="252">
        <f>VLOOKUP($E$3,Janar,19,TRUE)</f>
        <v>0</v>
      </c>
      <c r="I10" s="252">
        <f>H10</f>
        <v>0</v>
      </c>
      <c r="J10" s="252">
        <f>VLOOKUP($E$3,Janar,20,TRUE)</f>
        <v>0</v>
      </c>
      <c r="K10" s="252">
        <f>VLOOKUP($E$3,Janar,21,TRUE)</f>
        <v>0</v>
      </c>
      <c r="L10" s="252">
        <f>VLOOKUP($E$3,Janar,9,TRUE)</f>
        <v>0</v>
      </c>
      <c r="M10" s="252">
        <f>L10</f>
        <v>0</v>
      </c>
      <c r="N10" s="252">
        <f>E10+L10</f>
        <v>0</v>
      </c>
      <c r="O10" s="252">
        <f>N10</f>
        <v>0</v>
      </c>
    </row>
    <row r="11" spans="2:15" ht="16.5" customHeight="1" x14ac:dyDescent="0.2">
      <c r="B11" s="251" t="s">
        <v>32</v>
      </c>
      <c r="C11" s="205">
        <f>VLOOKUP($E$3,Shkurt,3,TRUE)</f>
        <v>0</v>
      </c>
      <c r="D11" s="252">
        <f>VLOOKUP($E$3,Shkurt,4,TRUE)</f>
        <v>0</v>
      </c>
      <c r="E11" s="252">
        <f>VLOOKUP($E$3,Shkurt,8,TRUE)</f>
        <v>0</v>
      </c>
      <c r="F11" s="252">
        <f>F10+E11</f>
        <v>0</v>
      </c>
      <c r="G11" s="252">
        <f>VLOOKUP($E$3,Shkurt,11,TRUE)</f>
        <v>0</v>
      </c>
      <c r="H11" s="252">
        <f>VLOOKUP($E$3,Shkurt,19,TRUE)</f>
        <v>0</v>
      </c>
      <c r="I11" s="252">
        <f>I10+H11</f>
        <v>0</v>
      </c>
      <c r="J11" s="252">
        <f>VLOOKUP($E$3,Shkurt,20,TRUE)</f>
        <v>0</v>
      </c>
      <c r="K11" s="252">
        <f>VLOOKUP($E$3,Shkurt,21,TRUE)</f>
        <v>0</v>
      </c>
      <c r="L11" s="252">
        <f>VLOOKUP($E$3,Shkurt,9,TRUE)</f>
        <v>0</v>
      </c>
      <c r="M11" s="252">
        <f>M10+L11</f>
        <v>0</v>
      </c>
      <c r="N11" s="252">
        <f t="shared" ref="N11:N21" si="0">E11+L11</f>
        <v>0</v>
      </c>
      <c r="O11" s="252">
        <f>O10+N11</f>
        <v>0</v>
      </c>
    </row>
    <row r="12" spans="2:15" ht="16.5" customHeight="1" x14ac:dyDescent="0.2">
      <c r="B12" s="251" t="s">
        <v>33</v>
      </c>
      <c r="C12" s="205">
        <f>VLOOKUP($E$3,Mars,3,TRUE)</f>
        <v>0</v>
      </c>
      <c r="D12" s="252">
        <f>VLOOKUP($E$3,Mars,4,TRUE)</f>
        <v>0</v>
      </c>
      <c r="E12" s="252">
        <f>VLOOKUP($E$3,Mars,8,TRUE)</f>
        <v>0</v>
      </c>
      <c r="F12" s="252">
        <f t="shared" ref="F12:F21" si="1">F11+E12</f>
        <v>0</v>
      </c>
      <c r="G12" s="252">
        <f>VLOOKUP($E$3,Mars,11,TRUE)</f>
        <v>0</v>
      </c>
      <c r="H12" s="252">
        <f>VLOOKUP($E$3,Mars,19,TRUE)</f>
        <v>0</v>
      </c>
      <c r="I12" s="252">
        <f t="shared" ref="I12:I21" si="2">I11+H12</f>
        <v>0</v>
      </c>
      <c r="J12" s="252">
        <f>VLOOKUP($E$3,Mars,20,TRUE)</f>
        <v>0</v>
      </c>
      <c r="K12" s="252">
        <f>VLOOKUP($E$3,Mars,21,TRUE)</f>
        <v>0</v>
      </c>
      <c r="L12" s="252">
        <f>VLOOKUP($E$3,Mars,9,TRUE)</f>
        <v>0</v>
      </c>
      <c r="M12" s="252">
        <f t="shared" ref="M12:M21" si="3">M11+L12</f>
        <v>0</v>
      </c>
      <c r="N12" s="252">
        <f t="shared" si="0"/>
        <v>0</v>
      </c>
      <c r="O12" s="252">
        <f t="shared" ref="O12:O21" si="4">O11+N12</f>
        <v>0</v>
      </c>
    </row>
    <row r="13" spans="2:15" ht="16.5" customHeight="1" x14ac:dyDescent="0.2">
      <c r="B13" s="251" t="s">
        <v>34</v>
      </c>
      <c r="C13" s="205">
        <f>VLOOKUP($E$3,Prill,3,TRUE)</f>
        <v>0</v>
      </c>
      <c r="D13" s="252">
        <v>100</v>
      </c>
      <c r="E13" s="252">
        <f>VLOOKUP($E$3,Prill,8,TRUE)</f>
        <v>0</v>
      </c>
      <c r="F13" s="252">
        <f t="shared" si="1"/>
        <v>0</v>
      </c>
      <c r="G13" s="252">
        <f>VLOOKUP($E$3,Prill,11,TRUE)</f>
        <v>0</v>
      </c>
      <c r="H13" s="252">
        <f>VLOOKUP($E$3,Prill,19,TRUE)</f>
        <v>0</v>
      </c>
      <c r="I13" s="252">
        <f t="shared" si="2"/>
        <v>0</v>
      </c>
      <c r="J13" s="252">
        <f>VLOOKUP($E$3,Prill,20,TRUE)</f>
        <v>0</v>
      </c>
      <c r="K13" s="252">
        <f>VLOOKUP($E$3,Prill,21,TRUE)</f>
        <v>0</v>
      </c>
      <c r="L13" s="252">
        <f>VLOOKUP($E$3,Prill,9,TRUE)</f>
        <v>0</v>
      </c>
      <c r="M13" s="252">
        <f t="shared" si="3"/>
        <v>0</v>
      </c>
      <c r="N13" s="252">
        <f t="shared" si="0"/>
        <v>0</v>
      </c>
      <c r="O13" s="252">
        <f t="shared" si="4"/>
        <v>0</v>
      </c>
    </row>
    <row r="14" spans="2:15" ht="16.5" customHeight="1" x14ac:dyDescent="0.2">
      <c r="B14" s="251" t="s">
        <v>35</v>
      </c>
      <c r="C14" s="205">
        <f>VLOOKUP($E$3,Maj,3,TRUE)</f>
        <v>0</v>
      </c>
      <c r="D14" s="252">
        <v>100</v>
      </c>
      <c r="E14" s="252">
        <f>VLOOKUP($E$3,Maj,8,TRUE)</f>
        <v>0</v>
      </c>
      <c r="F14" s="252">
        <f t="shared" si="1"/>
        <v>0</v>
      </c>
      <c r="G14" s="252">
        <f>VLOOKUP($E$3,Maj,11,TRUE)</f>
        <v>0</v>
      </c>
      <c r="H14" s="252">
        <f>VLOOKUP($E$3,Maj,19,TRUE)</f>
        <v>0</v>
      </c>
      <c r="I14" s="252">
        <f t="shared" si="2"/>
        <v>0</v>
      </c>
      <c r="J14" s="252">
        <f>VLOOKUP($E$3,Maj,20,TRUE)</f>
        <v>0</v>
      </c>
      <c r="K14" s="252">
        <f>VLOOKUP($E$3,Maj,21,TRUE)</f>
        <v>0</v>
      </c>
      <c r="L14" s="252">
        <f>VLOOKUP($E$3,Maj,9,TRUE)</f>
        <v>0</v>
      </c>
      <c r="M14" s="252">
        <f t="shared" si="3"/>
        <v>0</v>
      </c>
      <c r="N14" s="252">
        <f t="shared" si="0"/>
        <v>0</v>
      </c>
      <c r="O14" s="252">
        <f t="shared" si="4"/>
        <v>0</v>
      </c>
    </row>
    <row r="15" spans="2:15" ht="16.5" customHeight="1" x14ac:dyDescent="0.2">
      <c r="B15" s="251" t="s">
        <v>36</v>
      </c>
      <c r="C15" s="205">
        <f>VLOOKUP($E$3,Qershor,3,TRUE)</f>
        <v>0</v>
      </c>
      <c r="D15" s="252">
        <v>100</v>
      </c>
      <c r="E15" s="252">
        <f>VLOOKUP($E$3,Qershor,8,TRUE)</f>
        <v>0</v>
      </c>
      <c r="F15" s="252">
        <f t="shared" si="1"/>
        <v>0</v>
      </c>
      <c r="G15" s="252">
        <f>VLOOKUP($E$3,Qershor,11,TRUE)</f>
        <v>0</v>
      </c>
      <c r="H15" s="252">
        <f>VLOOKUP($E$3,Qershor,19,TRUE)</f>
        <v>0</v>
      </c>
      <c r="I15" s="252">
        <f t="shared" si="2"/>
        <v>0</v>
      </c>
      <c r="J15" s="252">
        <f>VLOOKUP($E$3,Qershor,20,TRUE)</f>
        <v>0</v>
      </c>
      <c r="K15" s="252">
        <f>VLOOKUP($E$3,Qershor,21,TRUE)</f>
        <v>0</v>
      </c>
      <c r="L15" s="252">
        <f>VLOOKUP($E$3,Qershor,9,TRUE)</f>
        <v>0</v>
      </c>
      <c r="M15" s="252">
        <f t="shared" si="3"/>
        <v>0</v>
      </c>
      <c r="N15" s="252">
        <f t="shared" si="0"/>
        <v>0</v>
      </c>
      <c r="O15" s="252">
        <f t="shared" si="4"/>
        <v>0</v>
      </c>
    </row>
    <row r="16" spans="2:15" ht="16.5" customHeight="1" x14ac:dyDescent="0.2">
      <c r="B16" s="251" t="s">
        <v>37</v>
      </c>
      <c r="C16" s="205">
        <f>VLOOKUP($E$3,Korrik,3,TRUE)</f>
        <v>0</v>
      </c>
      <c r="D16" s="252">
        <v>100</v>
      </c>
      <c r="E16" s="252">
        <f>VLOOKUP($E$3,Korrik,8,TRUE)</f>
        <v>0</v>
      </c>
      <c r="F16" s="252">
        <f t="shared" si="1"/>
        <v>0</v>
      </c>
      <c r="G16" s="252">
        <f>VLOOKUP($E$3,Korrik,11,TRUE)</f>
        <v>0</v>
      </c>
      <c r="H16" s="252">
        <f>VLOOKUP($E$3,Korrik,19,TRUE)</f>
        <v>0</v>
      </c>
      <c r="I16" s="252">
        <f t="shared" si="2"/>
        <v>0</v>
      </c>
      <c r="J16" s="252">
        <f>VLOOKUP($E$3,Korrik,20,TRUE)</f>
        <v>0</v>
      </c>
      <c r="K16" s="252">
        <f>VLOOKUP($E$3,Korrik,21,TRUE)</f>
        <v>0</v>
      </c>
      <c r="L16" s="252">
        <f>VLOOKUP($E$3,Korrik,9,TRUE)</f>
        <v>0</v>
      </c>
      <c r="M16" s="252">
        <f t="shared" si="3"/>
        <v>0</v>
      </c>
      <c r="N16" s="252">
        <f t="shared" si="0"/>
        <v>0</v>
      </c>
      <c r="O16" s="252">
        <f t="shared" si="4"/>
        <v>0</v>
      </c>
    </row>
    <row r="17" spans="2:15" ht="16.5" customHeight="1" x14ac:dyDescent="0.2">
      <c r="B17" s="251" t="s">
        <v>38</v>
      </c>
      <c r="C17" s="205">
        <f>VLOOKUP($E$3,Gusht,3,TRUE)</f>
        <v>0</v>
      </c>
      <c r="D17" s="252">
        <v>100</v>
      </c>
      <c r="E17" s="252">
        <f>VLOOKUP($E$3,Gusht,8,TRUE)</f>
        <v>0</v>
      </c>
      <c r="F17" s="252">
        <f t="shared" si="1"/>
        <v>0</v>
      </c>
      <c r="G17" s="252">
        <f>VLOOKUP($E$3,Gusht,11,TRUE)</f>
        <v>0</v>
      </c>
      <c r="H17" s="252">
        <f>VLOOKUP($E$3,Gusht,19,TRUE)</f>
        <v>0</v>
      </c>
      <c r="I17" s="252">
        <f t="shared" si="2"/>
        <v>0</v>
      </c>
      <c r="J17" s="252">
        <f>VLOOKUP($E$3,Gusht,20,TRUE)</f>
        <v>0</v>
      </c>
      <c r="K17" s="252">
        <f>VLOOKUP($E$3,Gusht,21,TRUE)</f>
        <v>0</v>
      </c>
      <c r="L17" s="252">
        <f>VLOOKUP($E$3,Gusht,9,TRUE)</f>
        <v>0</v>
      </c>
      <c r="M17" s="252">
        <f t="shared" si="3"/>
        <v>0</v>
      </c>
      <c r="N17" s="252">
        <f t="shared" si="0"/>
        <v>0</v>
      </c>
      <c r="O17" s="252">
        <f t="shared" si="4"/>
        <v>0</v>
      </c>
    </row>
    <row r="18" spans="2:15" ht="16.5" customHeight="1" x14ac:dyDescent="0.2">
      <c r="B18" s="251" t="s">
        <v>39</v>
      </c>
      <c r="C18" s="205">
        <f>VLOOKUP($E$3,Shtator,3,TRUE)</f>
        <v>0</v>
      </c>
      <c r="D18" s="252">
        <v>100</v>
      </c>
      <c r="E18" s="252">
        <f>VLOOKUP($E$3,Shtator,8,TRUE)</f>
        <v>10</v>
      </c>
      <c r="F18" s="252">
        <f t="shared" si="1"/>
        <v>10</v>
      </c>
      <c r="G18" s="252">
        <f>VLOOKUP($E$3,Shtator,11,TRUE)</f>
        <v>190</v>
      </c>
      <c r="H18" s="252">
        <f>VLOOKUP($E$3,Shtator,19,TRUE)</f>
        <v>4.4000000000000004</v>
      </c>
      <c r="I18" s="252">
        <f t="shared" si="2"/>
        <v>4.4000000000000004</v>
      </c>
      <c r="J18" s="252">
        <f>VLOOKUP($E$3,Shtator,20,TRUE)</f>
        <v>185.6</v>
      </c>
      <c r="K18" s="252">
        <f>VLOOKUP($E$3,Shtator,21,TRUE)</f>
        <v>0</v>
      </c>
      <c r="L18" s="252">
        <f>VLOOKUP($E$3,Shtator,9,TRUE)</f>
        <v>10</v>
      </c>
      <c r="M18" s="252">
        <f t="shared" si="3"/>
        <v>10</v>
      </c>
      <c r="N18" s="252">
        <f t="shared" si="0"/>
        <v>20</v>
      </c>
      <c r="O18" s="252">
        <f t="shared" si="4"/>
        <v>20</v>
      </c>
    </row>
    <row r="19" spans="2:15" ht="16.5" customHeight="1" x14ac:dyDescent="0.2">
      <c r="B19" s="251" t="s">
        <v>40</v>
      </c>
      <c r="C19" s="205">
        <f>VLOOKUP($E$3,Tetor,3,TRUE)</f>
        <v>0</v>
      </c>
      <c r="D19" s="252">
        <v>100</v>
      </c>
      <c r="E19" s="252">
        <f>VLOOKUP($E$3,Tetor,8,TRUE)</f>
        <v>0</v>
      </c>
      <c r="F19" s="252">
        <f t="shared" si="1"/>
        <v>10</v>
      </c>
      <c r="G19" s="252">
        <f>VLOOKUP($E$3,Tetor,11,TRUE)</f>
        <v>0</v>
      </c>
      <c r="H19" s="252">
        <f>VLOOKUP($E$3,Tetor,19,TRUE)</f>
        <v>0</v>
      </c>
      <c r="I19" s="252">
        <f t="shared" si="2"/>
        <v>4.4000000000000004</v>
      </c>
      <c r="J19" s="252">
        <f>VLOOKUP($E$3,Tetor,20,TRUE)</f>
        <v>0</v>
      </c>
      <c r="K19" s="252">
        <f>VLOOKUP($E$3,Tetor,21,TRUE)</f>
        <v>0</v>
      </c>
      <c r="L19" s="252">
        <f>VLOOKUP($E$3,Tetor,9,TRUE)</f>
        <v>0</v>
      </c>
      <c r="M19" s="252">
        <f t="shared" si="3"/>
        <v>10</v>
      </c>
      <c r="N19" s="252">
        <f t="shared" si="0"/>
        <v>0</v>
      </c>
      <c r="O19" s="252">
        <f t="shared" si="4"/>
        <v>20</v>
      </c>
    </row>
    <row r="20" spans="2:15" ht="16.5" customHeight="1" x14ac:dyDescent="0.2">
      <c r="B20" s="251" t="s">
        <v>41</v>
      </c>
      <c r="C20" s="205">
        <f>VLOOKUP($E$3,Nentor,3,TRUE)</f>
        <v>0</v>
      </c>
      <c r="D20" s="252">
        <v>100</v>
      </c>
      <c r="E20" s="252">
        <f>VLOOKUP($E$3,Nentor,8,TRUE)</f>
        <v>0</v>
      </c>
      <c r="F20" s="252">
        <f t="shared" si="1"/>
        <v>10</v>
      </c>
      <c r="G20" s="252">
        <f>VLOOKUP($E$3,Nentor,11,TRUE)</f>
        <v>0</v>
      </c>
      <c r="H20" s="252">
        <f>VLOOKUP($E$3,Nentor,19,TRUE)</f>
        <v>0</v>
      </c>
      <c r="I20" s="252">
        <f t="shared" si="2"/>
        <v>4.4000000000000004</v>
      </c>
      <c r="J20" s="252">
        <f>VLOOKUP($E$3,Nentor,20,TRUE)</f>
        <v>0</v>
      </c>
      <c r="K20" s="252">
        <f>VLOOKUP($E$3,Nentor,21,TRUE)</f>
        <v>0</v>
      </c>
      <c r="L20" s="252">
        <f>VLOOKUP($E$3,Nentor,9,TRUE)</f>
        <v>0</v>
      </c>
      <c r="M20" s="252">
        <f t="shared" si="3"/>
        <v>10</v>
      </c>
      <c r="N20" s="252">
        <f t="shared" si="0"/>
        <v>0</v>
      </c>
      <c r="O20" s="252">
        <f t="shared" si="4"/>
        <v>20</v>
      </c>
    </row>
    <row r="21" spans="2:15" ht="16.5" customHeight="1" x14ac:dyDescent="0.2">
      <c r="B21" s="251" t="s">
        <v>42</v>
      </c>
      <c r="C21" s="205">
        <f>VLOOKUP($E$3,Dhjetor,3,TRUE)</f>
        <v>0</v>
      </c>
      <c r="D21" s="252">
        <v>100</v>
      </c>
      <c r="E21" s="252">
        <f>VLOOKUP($E$3,Dhjetor,8,TRUE)</f>
        <v>0</v>
      </c>
      <c r="F21" s="252">
        <f t="shared" si="1"/>
        <v>10</v>
      </c>
      <c r="G21" s="252">
        <f>VLOOKUP($E$3,Dhjetor,11,TRUE)</f>
        <v>0</v>
      </c>
      <c r="H21" s="252">
        <f>VLOOKUP($E$3,Dhjetor,19,TRUE)</f>
        <v>0</v>
      </c>
      <c r="I21" s="252">
        <f t="shared" si="2"/>
        <v>4.4000000000000004</v>
      </c>
      <c r="J21" s="252">
        <f>VLOOKUP($E$3,Dhjetor,20,TRUE)</f>
        <v>0</v>
      </c>
      <c r="K21" s="252">
        <f>VLOOKUP($E$3,Dhjetor,21,TRUE)</f>
        <v>0</v>
      </c>
      <c r="L21" s="252">
        <f>VLOOKUP($E$3,Dhjetor,9,TRUE)</f>
        <v>0</v>
      </c>
      <c r="M21" s="252">
        <f t="shared" si="3"/>
        <v>10</v>
      </c>
      <c r="N21" s="252">
        <f t="shared" si="0"/>
        <v>0</v>
      </c>
      <c r="O21" s="252">
        <f t="shared" si="4"/>
        <v>20</v>
      </c>
    </row>
    <row r="22" spans="2:15" ht="21" customHeight="1" x14ac:dyDescent="0.2">
      <c r="B22" s="45" t="s">
        <v>89</v>
      </c>
      <c r="C22" s="253"/>
      <c r="D22" s="254">
        <f>SUM(D10:D21)</f>
        <v>900</v>
      </c>
      <c r="F22" s="254">
        <f>F21</f>
        <v>10</v>
      </c>
      <c r="G22" s="254">
        <f>SUM(G10:G21)</f>
        <v>190</v>
      </c>
      <c r="I22" s="254">
        <f>I21</f>
        <v>4.4000000000000004</v>
      </c>
      <c r="J22" s="254">
        <f>SUM(J10:J21)</f>
        <v>185.6</v>
      </c>
      <c r="K22" s="255">
        <f>SUM(K10:K21)</f>
        <v>0</v>
      </c>
      <c r="M22" s="254">
        <f>M21</f>
        <v>10</v>
      </c>
      <c r="O22" s="254">
        <f>O21</f>
        <v>20</v>
      </c>
    </row>
    <row r="27" spans="2:15" ht="15.75" x14ac:dyDescent="0.25">
      <c r="B27" s="10"/>
      <c r="C27" s="10"/>
      <c r="D27" s="10"/>
      <c r="E27" s="10"/>
      <c r="F27" s="10"/>
      <c r="M27" s="61" t="s">
        <v>92</v>
      </c>
      <c r="N27" s="21"/>
    </row>
    <row r="28" spans="2:15" ht="42" customHeight="1" x14ac:dyDescent="0.25">
      <c r="B28" s="64" t="s">
        <v>29</v>
      </c>
      <c r="C28" s="64"/>
      <c r="D28" s="60"/>
      <c r="E28" s="10"/>
      <c r="F28" s="10"/>
      <c r="M28" s="62" t="s">
        <v>91</v>
      </c>
      <c r="N28" s="57"/>
      <c r="O28" s="57"/>
    </row>
  </sheetData>
  <sheetProtection selectLockedCells="1"/>
  <customSheetViews>
    <customSheetView guid="{09AFD497-C868-4385-9AB3-7F1632F55388}" showGridLines="0" zeroValues="0" showRuler="0">
      <pane xSplit="4" ySplit="9" topLeftCell="E10" activePane="bottomRight" state="frozen"/>
      <selection pane="bottomRight" activeCell="D4" sqref="D4"/>
      <pageMargins left="0.5" right="0.5" top="0.75" bottom="0.5" header="0.5" footer="0.5"/>
      <pageSetup paperSize="9" orientation="landscape" horizontalDpi="120" verticalDpi="144" r:id="rId1"/>
      <headerFooter alignWithMargins="0"/>
    </customSheetView>
    <customSheetView guid="{CE29130D-F54B-4517-B637-01D908CB90D3}" showGridLines="0" zeroValues="0" hiddenColumns="1" showRuler="0">
      <pane xSplit="5" ySplit="9" topLeftCell="F10" activePane="bottomRight" state="frozen"/>
      <selection pane="bottomRight" activeCell="E3" sqref="E3"/>
      <pageMargins left="0.5" right="0.5" top="0.75" bottom="0.5" header="0.5" footer="0.5"/>
      <pageSetup paperSize="9" orientation="landscape" horizontalDpi="120" verticalDpi="144" r:id="rId2"/>
      <headerFooter alignWithMargins="0"/>
    </customSheetView>
  </customSheetViews>
  <mergeCells count="12">
    <mergeCell ref="F2:L2"/>
    <mergeCell ref="L7:M7"/>
    <mergeCell ref="H5:J5"/>
    <mergeCell ref="N7:O7"/>
    <mergeCell ref="B5:E5"/>
    <mergeCell ref="M3:O3"/>
    <mergeCell ref="B7:B8"/>
    <mergeCell ref="D7:D8"/>
    <mergeCell ref="E7:F7"/>
    <mergeCell ref="H7:I7"/>
    <mergeCell ref="H3:J3"/>
    <mergeCell ref="H4:J4"/>
  </mergeCells>
  <phoneticPr fontId="0" type="noConversion"/>
  <dataValidations count="1">
    <dataValidation type="whole" allowBlank="1" showInputMessage="1" showErrorMessage="1" sqref="E3">
      <formula1>1</formula1>
      <formula2>10</formula2>
    </dataValidation>
  </dataValidations>
  <pageMargins left="0.5" right="0.5" top="0.75" bottom="0.5" header="0.5" footer="0.5"/>
  <pageSetup paperSize="9" orientation="landscape" horizontalDpi="120" verticalDpi="144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Spinner 1">
              <controlPr defaultSize="0" print="0" autoPict="0">
                <anchor moveWithCells="1" sizeWithCells="1">
                  <from>
                    <xdr:col>3</xdr:col>
                    <xdr:colOff>523875</xdr:colOff>
                    <xdr:row>1</xdr:row>
                    <xdr:rowOff>285750</xdr:rowOff>
                  </from>
                  <to>
                    <xdr:col>3</xdr:col>
                    <xdr:colOff>742950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T32"/>
  <sheetViews>
    <sheetView showGridLines="0" showZeros="0" workbookViewId="0">
      <pane xSplit="18" ySplit="1" topLeftCell="S2" activePane="bottomRight" state="frozen"/>
      <selection pane="topRight" activeCell="S1" sqref="S1"/>
      <selection pane="bottomLeft" activeCell="A2" sqref="A2"/>
      <selection pane="bottomRight" activeCell="C1" sqref="C1"/>
    </sheetView>
  </sheetViews>
  <sheetFormatPr defaultRowHeight="12.75" x14ac:dyDescent="0.2"/>
  <cols>
    <col min="1" max="1" width="1.42578125" style="18" customWidth="1"/>
    <col min="2" max="2" width="8.7109375" style="18" customWidth="1"/>
    <col min="3" max="3" width="10.5703125" style="18" customWidth="1"/>
    <col min="4" max="4" width="1.42578125" style="18" customWidth="1"/>
    <col min="5" max="6" width="8.7109375" style="18" customWidth="1"/>
    <col min="7" max="7" width="1.28515625" style="18" customWidth="1"/>
    <col min="8" max="8" width="9.140625" style="18"/>
    <col min="9" max="9" width="9.85546875" style="18" customWidth="1"/>
    <col min="10" max="10" width="1.42578125" style="18" customWidth="1"/>
    <col min="11" max="11" width="9.140625" style="18"/>
    <col min="12" max="12" width="10.5703125" style="18" customWidth="1"/>
    <col min="13" max="13" width="1.42578125" style="18" customWidth="1"/>
    <col min="14" max="14" width="9.140625" style="18"/>
    <col min="15" max="15" width="10.140625" style="18" bestFit="1" customWidth="1"/>
    <col min="16" max="16" width="8.42578125" style="18" customWidth="1"/>
    <col min="17" max="17" width="1.42578125" style="18" customWidth="1"/>
    <col min="18" max="18" width="1" style="18" customWidth="1"/>
    <col min="19" max="16384" width="9.140625" style="18"/>
  </cols>
  <sheetData>
    <row r="1" spans="1:20" ht="19.5" customHeight="1" thickBot="1" x14ac:dyDescent="0.25">
      <c r="C1" s="8" t="s">
        <v>14</v>
      </c>
    </row>
    <row r="2" spans="1:20" ht="78" customHeight="1" thickTop="1" x14ac:dyDescent="0.2">
      <c r="A2" s="77"/>
      <c r="B2" s="390" t="s">
        <v>133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78"/>
    </row>
    <row r="3" spans="1:20" ht="11.25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20" s="21" customFormat="1" ht="38.25" customHeight="1" x14ac:dyDescent="0.25">
      <c r="A4" s="82"/>
      <c r="B4" s="378" t="s">
        <v>114</v>
      </c>
      <c r="C4" s="378"/>
      <c r="D4" s="378"/>
      <c r="E4" s="392"/>
      <c r="F4" s="395" t="str">
        <f>Shenime!D3</f>
        <v>ASTRONIK</v>
      </c>
      <c r="G4" s="396"/>
      <c r="H4" s="396"/>
      <c r="I4" s="396"/>
      <c r="J4" s="396"/>
      <c r="K4" s="396"/>
      <c r="L4" s="397"/>
      <c r="M4" s="83"/>
      <c r="N4" s="83"/>
      <c r="O4" s="83"/>
      <c r="P4" s="83"/>
      <c r="Q4" s="84"/>
    </row>
    <row r="5" spans="1:20" s="21" customFormat="1" ht="11.2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20" s="21" customFormat="1" ht="39" customHeight="1" x14ac:dyDescent="0.25">
      <c r="A6" s="82"/>
      <c r="B6" s="378" t="s">
        <v>118</v>
      </c>
      <c r="C6" s="379"/>
      <c r="D6" s="379"/>
      <c r="E6" s="379"/>
      <c r="F6" s="379"/>
      <c r="G6" s="83"/>
      <c r="H6" s="398" t="str">
        <f>Shenime!D4</f>
        <v>80258348/600456645</v>
      </c>
      <c r="I6" s="399"/>
      <c r="J6" s="399"/>
      <c r="K6" s="399"/>
      <c r="L6" s="400"/>
      <c r="M6" s="83"/>
      <c r="N6" s="83"/>
      <c r="O6" s="83"/>
      <c r="P6" s="83"/>
      <c r="Q6" s="84"/>
    </row>
    <row r="7" spans="1:20" s="21" customFormat="1" ht="13.5" customHeight="1" x14ac:dyDescent="0.2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20" s="21" customFormat="1" ht="39" customHeight="1" x14ac:dyDescent="0.25">
      <c r="A8" s="82"/>
      <c r="B8" s="393" t="s">
        <v>119</v>
      </c>
      <c r="C8" s="393"/>
      <c r="D8" s="393"/>
      <c r="E8" s="394"/>
      <c r="F8" s="401" t="str">
        <f>Shenime!D6</f>
        <v>MALISHEVË</v>
      </c>
      <c r="G8" s="402"/>
      <c r="H8" s="402"/>
      <c r="I8" s="402"/>
      <c r="J8" s="402"/>
      <c r="K8" s="403"/>
      <c r="L8" s="83"/>
      <c r="M8" s="83"/>
      <c r="N8" s="83" t="s">
        <v>128</v>
      </c>
      <c r="O8" s="404" t="s">
        <v>259</v>
      </c>
      <c r="P8" s="389"/>
      <c r="Q8" s="84"/>
    </row>
    <row r="9" spans="1:20" s="21" customFormat="1" ht="14.25" customHeight="1" x14ac:dyDescent="0.25">
      <c r="A9" s="82"/>
      <c r="B9" s="85"/>
      <c r="C9" s="85"/>
      <c r="D9" s="8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1:20" s="21" customFormat="1" ht="39" customHeight="1" x14ac:dyDescent="0.25">
      <c r="A10" s="82"/>
      <c r="B10" s="378" t="s">
        <v>120</v>
      </c>
      <c r="C10" s="379"/>
      <c r="D10" s="379"/>
      <c r="E10" s="380"/>
      <c r="F10" s="404" t="str">
        <f>Shenime!D7</f>
        <v>Blerim Morina</v>
      </c>
      <c r="G10" s="388"/>
      <c r="H10" s="388"/>
      <c r="I10" s="388"/>
      <c r="J10" s="388"/>
      <c r="K10" s="389"/>
      <c r="L10" s="83"/>
      <c r="M10" s="83"/>
      <c r="N10" s="83" t="s">
        <v>129</v>
      </c>
      <c r="O10" s="407"/>
      <c r="P10" s="408"/>
      <c r="Q10" s="84"/>
    </row>
    <row r="11" spans="1:20" s="21" customFormat="1" ht="15.75" customHeight="1" x14ac:dyDescent="0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20" s="21" customFormat="1" ht="15.75" customHeight="1" x14ac:dyDescent="0.2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20" s="21" customFormat="1" ht="13.5" customHeight="1" x14ac:dyDescent="0.25">
      <c r="A13" s="82"/>
      <c r="B13" s="405" t="s">
        <v>115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84"/>
    </row>
    <row r="14" spans="1:20" s="21" customFormat="1" ht="24.95" customHeight="1" x14ac:dyDescent="0.25">
      <c r="A14" s="82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84"/>
    </row>
    <row r="15" spans="1:20" s="21" customFormat="1" ht="30" customHeight="1" x14ac:dyDescent="0.25">
      <c r="A15" s="82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84"/>
      <c r="S15" s="23"/>
      <c r="T15" s="23"/>
    </row>
    <row r="16" spans="1:20" s="21" customFormat="1" ht="38.25" customHeight="1" x14ac:dyDescent="0.25">
      <c r="A16" s="82"/>
      <c r="B16" s="378" t="s">
        <v>121</v>
      </c>
      <c r="C16" s="378"/>
      <c r="D16" s="378"/>
      <c r="E16" s="392"/>
      <c r="F16" s="409">
        <f>VLOOKUP(L16,Personale,2,TRUE)</f>
        <v>0</v>
      </c>
      <c r="G16" s="410"/>
      <c r="H16" s="410"/>
      <c r="I16" s="410"/>
      <c r="J16" s="410"/>
      <c r="K16" s="411"/>
      <c r="L16" s="175">
        <v>7</v>
      </c>
      <c r="M16" s="83"/>
      <c r="O16" s="83"/>
      <c r="P16" s="83"/>
      <c r="Q16" s="84"/>
      <c r="T16" s="23"/>
    </row>
    <row r="17" spans="1:20" ht="20.25" customHeight="1" x14ac:dyDescent="0.2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S17" s="86"/>
      <c r="T17" s="86"/>
    </row>
    <row r="18" spans="1:20" ht="39" customHeight="1" x14ac:dyDescent="0.2">
      <c r="A18" s="79"/>
      <c r="B18" s="378" t="s">
        <v>122</v>
      </c>
      <c r="C18" s="379"/>
      <c r="D18" s="379"/>
      <c r="E18" s="379"/>
      <c r="F18" s="379"/>
      <c r="G18" s="379"/>
      <c r="H18" s="380"/>
      <c r="I18" s="412">
        <f>VLOOKUP(L16,Personale,3,TRUE)</f>
        <v>0</v>
      </c>
      <c r="J18" s="413"/>
      <c r="K18" s="413"/>
      <c r="L18" s="414"/>
      <c r="M18" s="80"/>
      <c r="N18" s="80"/>
      <c r="O18" s="80"/>
      <c r="P18" s="80"/>
      <c r="Q18" s="81"/>
    </row>
    <row r="19" spans="1:20" ht="15.75" customHeight="1" x14ac:dyDescent="0.2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20" ht="39" customHeight="1" x14ac:dyDescent="0.2">
      <c r="A20" s="79"/>
      <c r="B20" s="378" t="s">
        <v>123</v>
      </c>
      <c r="C20" s="379"/>
      <c r="D20" s="379"/>
      <c r="E20" s="380"/>
      <c r="F20" s="387">
        <f>VLOOKUP(L16,Personale,4,TRUE)</f>
        <v>0</v>
      </c>
      <c r="G20" s="388"/>
      <c r="H20" s="388"/>
      <c r="I20" s="388"/>
      <c r="J20" s="388"/>
      <c r="K20" s="388"/>
      <c r="L20" s="389"/>
      <c r="M20" s="80"/>
      <c r="N20" s="83" t="s">
        <v>130</v>
      </c>
      <c r="O20" s="369">
        <f>VLOOKUP(L16,Personale,5,TRUE)</f>
        <v>0</v>
      </c>
      <c r="P20" s="370"/>
      <c r="Q20" s="81"/>
    </row>
    <row r="21" spans="1:20" ht="18" customHeight="1" x14ac:dyDescent="0.2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</row>
    <row r="22" spans="1:20" ht="45" customHeight="1" x14ac:dyDescent="0.2">
      <c r="A22" s="79"/>
      <c r="B22" s="381" t="s">
        <v>132</v>
      </c>
      <c r="C22" s="382"/>
      <c r="D22" s="382"/>
      <c r="E22" s="382"/>
      <c r="F22" s="382"/>
      <c r="G22" s="382"/>
      <c r="H22" s="382"/>
      <c r="I22" s="382"/>
      <c r="J22" s="80"/>
      <c r="K22" s="80"/>
      <c r="L22" s="80"/>
      <c r="M22" s="80"/>
      <c r="N22" s="80"/>
      <c r="O22" s="80"/>
      <c r="P22" s="80"/>
      <c r="Q22" s="81"/>
    </row>
    <row r="23" spans="1:20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</row>
    <row r="24" spans="1:20" s="91" customFormat="1" ht="36" customHeight="1" x14ac:dyDescent="0.25">
      <c r="A24" s="87"/>
      <c r="B24" s="383" t="s">
        <v>124</v>
      </c>
      <c r="C24" s="384"/>
      <c r="D24" s="88"/>
      <c r="E24" s="383" t="s">
        <v>116</v>
      </c>
      <c r="F24" s="384"/>
      <c r="G24" s="89"/>
      <c r="H24" s="383" t="s">
        <v>125</v>
      </c>
      <c r="I24" s="384"/>
      <c r="J24" s="89"/>
      <c r="K24" s="383" t="s">
        <v>126</v>
      </c>
      <c r="L24" s="384"/>
      <c r="M24" s="89"/>
      <c r="N24" s="383" t="s">
        <v>127</v>
      </c>
      <c r="O24" s="419"/>
      <c r="P24" s="384"/>
      <c r="Q24" s="90"/>
    </row>
    <row r="25" spans="1:20" s="91" customFormat="1" ht="30" customHeight="1" x14ac:dyDescent="0.25">
      <c r="A25" s="87"/>
      <c r="B25" s="385"/>
      <c r="C25" s="386"/>
      <c r="D25" s="88"/>
      <c r="E25" s="385"/>
      <c r="F25" s="386"/>
      <c r="G25" s="89"/>
      <c r="H25" s="385"/>
      <c r="I25" s="386"/>
      <c r="J25" s="89"/>
      <c r="K25" s="385"/>
      <c r="L25" s="386"/>
      <c r="M25" s="89"/>
      <c r="N25" s="385"/>
      <c r="O25" s="420"/>
      <c r="P25" s="386"/>
      <c r="Q25" s="90"/>
    </row>
    <row r="26" spans="1:20" s="91" customFormat="1" ht="18.75" customHeight="1" x14ac:dyDescent="0.25">
      <c r="A26" s="87"/>
      <c r="B26" s="376" t="s">
        <v>108</v>
      </c>
      <c r="C26" s="377"/>
      <c r="D26" s="92"/>
      <c r="E26" s="376" t="s">
        <v>109</v>
      </c>
      <c r="F26" s="377"/>
      <c r="G26" s="92"/>
      <c r="H26" s="376" t="s">
        <v>110</v>
      </c>
      <c r="I26" s="377"/>
      <c r="J26" s="92"/>
      <c r="K26" s="376" t="s">
        <v>111</v>
      </c>
      <c r="L26" s="377"/>
      <c r="M26" s="92"/>
      <c r="N26" s="376" t="s">
        <v>112</v>
      </c>
      <c r="O26" s="421"/>
      <c r="P26" s="377"/>
      <c r="Q26" s="90"/>
    </row>
    <row r="27" spans="1:20" ht="24.75" customHeight="1" x14ac:dyDescent="0.2">
      <c r="A27" s="79"/>
      <c r="B27" s="371">
        <f>Shenime!H7</f>
        <v>2019</v>
      </c>
      <c r="C27" s="372"/>
      <c r="D27" s="83"/>
      <c r="E27" s="373">
        <f>VLOOKUP(L16,Vjetore,4,TRUE)</f>
        <v>200</v>
      </c>
      <c r="F27" s="374"/>
      <c r="G27" s="83"/>
      <c r="H27" s="373">
        <f>VLOOKUP(L16,Vjetore,6)</f>
        <v>10</v>
      </c>
      <c r="I27" s="374"/>
      <c r="J27" s="80"/>
      <c r="K27" s="373">
        <f>VLOOKUP(L16,Vjetore,5,TRUE)</f>
        <v>10</v>
      </c>
      <c r="L27" s="374"/>
      <c r="M27" s="80"/>
      <c r="N27" s="373">
        <f>VLOOKUP(L16,Vjetore,8,TRUE)</f>
        <v>4.4000000000000004</v>
      </c>
      <c r="O27" s="375"/>
      <c r="P27" s="374"/>
      <c r="Q27" s="81"/>
    </row>
    <row r="28" spans="1:20" ht="14.25" customHeight="1" x14ac:dyDescent="0.2">
      <c r="A28" s="79"/>
      <c r="B28" s="93"/>
      <c r="C28" s="93"/>
      <c r="D28" s="93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29" spans="1:20" s="23" customFormat="1" ht="39" customHeight="1" x14ac:dyDescent="0.25">
      <c r="A29" s="82"/>
      <c r="B29" s="415" t="s">
        <v>131</v>
      </c>
      <c r="C29" s="416"/>
      <c r="D29" s="416"/>
      <c r="E29" s="416"/>
      <c r="F29" s="416"/>
      <c r="G29" s="416"/>
      <c r="H29" s="416"/>
      <c r="I29" s="416"/>
      <c r="J29" s="83"/>
      <c r="K29" s="83"/>
      <c r="L29" s="83"/>
      <c r="M29" s="83"/>
      <c r="N29" s="83"/>
      <c r="O29" s="423" t="s">
        <v>117</v>
      </c>
      <c r="P29" s="423"/>
      <c r="Q29" s="84"/>
    </row>
    <row r="30" spans="1:20" s="86" customFormat="1" ht="30" customHeight="1" x14ac:dyDescent="0.2">
      <c r="A30" s="79"/>
      <c r="B30" s="422"/>
      <c r="C30" s="422"/>
      <c r="D30" s="422"/>
      <c r="E30" s="103"/>
      <c r="F30" s="94"/>
      <c r="G30" s="94"/>
      <c r="H30" s="94"/>
      <c r="I30" s="94"/>
      <c r="J30" s="80"/>
      <c r="K30" s="80"/>
      <c r="L30" s="80"/>
      <c r="M30" s="80"/>
      <c r="O30" s="424"/>
      <c r="P30" s="424"/>
      <c r="Q30" s="81"/>
    </row>
    <row r="31" spans="1:20" s="86" customFormat="1" ht="49.5" customHeight="1" thickBot="1" x14ac:dyDescent="0.25">
      <c r="A31" s="95"/>
      <c r="B31" s="417" t="s">
        <v>113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96"/>
    </row>
    <row r="32" spans="1:20" ht="13.5" thickTop="1" x14ac:dyDescent="0.2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368"/>
      <c r="Q32" s="368"/>
    </row>
  </sheetData>
  <customSheetViews>
    <customSheetView guid="{CE29130D-F54B-4517-B637-01D908CB90D3}" showGridLines="0" zeroValues="0" showRuler="0">
      <pane xSplit="18" ySplit="1" topLeftCell="S11" activePane="bottomRight" state="frozen"/>
      <selection pane="bottomRight" activeCell="C1" sqref="C1"/>
      <pageMargins left="0.4" right="0.4" top="0.5" bottom="0.5" header="0.5" footer="0.5"/>
      <printOptions horizontalCentered="1" verticalCentered="1"/>
      <pageSetup paperSize="9" scale="85" orientation="portrait" r:id="rId1"/>
      <headerFooter alignWithMargins="0"/>
    </customSheetView>
  </customSheetViews>
  <mergeCells count="41">
    <mergeCell ref="K24:L25"/>
    <mergeCell ref="B29:I29"/>
    <mergeCell ref="B31:P31"/>
    <mergeCell ref="N24:P25"/>
    <mergeCell ref="N26:P26"/>
    <mergeCell ref="K26:L26"/>
    <mergeCell ref="B30:D30"/>
    <mergeCell ref="O29:P29"/>
    <mergeCell ref="O30:P30"/>
    <mergeCell ref="B13:P15"/>
    <mergeCell ref="B16:E16"/>
    <mergeCell ref="B18:H18"/>
    <mergeCell ref="F10:K10"/>
    <mergeCell ref="O10:P10"/>
    <mergeCell ref="F16:K16"/>
    <mergeCell ref="I18:L18"/>
    <mergeCell ref="B10:E10"/>
    <mergeCell ref="B2:P2"/>
    <mergeCell ref="B4:E4"/>
    <mergeCell ref="B6:F6"/>
    <mergeCell ref="B8:E8"/>
    <mergeCell ref="F4:L4"/>
    <mergeCell ref="H6:L6"/>
    <mergeCell ref="F8:K8"/>
    <mergeCell ref="O8:P8"/>
    <mergeCell ref="P32:Q32"/>
    <mergeCell ref="O20:P20"/>
    <mergeCell ref="B27:C27"/>
    <mergeCell ref="E27:F27"/>
    <mergeCell ref="H27:I27"/>
    <mergeCell ref="K27:L27"/>
    <mergeCell ref="N27:P27"/>
    <mergeCell ref="B26:C26"/>
    <mergeCell ref="E26:F26"/>
    <mergeCell ref="H26:I26"/>
    <mergeCell ref="B20:E20"/>
    <mergeCell ref="B22:I22"/>
    <mergeCell ref="H24:I25"/>
    <mergeCell ref="B24:C25"/>
    <mergeCell ref="E24:F25"/>
    <mergeCell ref="F20:L20"/>
  </mergeCells>
  <phoneticPr fontId="0" type="noConversion"/>
  <dataValidations count="1">
    <dataValidation type="whole" allowBlank="1" showInputMessage="1" showErrorMessage="1" sqref="L16">
      <formula1>1</formula1>
      <formula2>10</formula2>
    </dataValidation>
  </dataValidations>
  <hyperlinks>
    <hyperlink ref="C1" location="Permbajtja!A1" display="Kthehu prapa"/>
  </hyperlinks>
  <printOptions horizontalCentered="1" verticalCentered="1"/>
  <pageMargins left="0.4" right="0.4" top="0.5" bottom="0.5" header="0.5" footer="0.5"/>
  <pageSetup paperSize="9" scale="8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5" name="Spinner 1">
              <controlPr defaultSize="0" print="0" autoPict="0">
                <anchor moveWithCells="1" sizeWithCells="1">
                  <from>
                    <xdr:col>13</xdr:col>
                    <xdr:colOff>9525</xdr:colOff>
                    <xdr:row>15</xdr:row>
                    <xdr:rowOff>28575</xdr:rowOff>
                  </from>
                  <to>
                    <xdr:col>13</xdr:col>
                    <xdr:colOff>323850</xdr:colOff>
                    <xdr:row>15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3"/>
  <sheetViews>
    <sheetView showGridLines="0" zoomScale="140" workbookViewId="0">
      <pane xSplit="5" ySplit="13" topLeftCell="I14" activePane="bottomRight" state="frozen"/>
      <selection pane="topRight" activeCell="F1" sqref="F1"/>
      <selection pane="bottomLeft" activeCell="A14" sqref="A14"/>
      <selection pane="bottomRight" activeCell="B1" sqref="B1"/>
    </sheetView>
  </sheetViews>
  <sheetFormatPr defaultRowHeight="12.75" x14ac:dyDescent="0.2"/>
  <cols>
    <col min="1" max="1" width="9.140625" style="1"/>
    <col min="2" max="2" width="12.7109375" style="1" customWidth="1"/>
    <col min="3" max="3" width="11.140625" style="1" customWidth="1"/>
    <col min="4" max="4" width="15.7109375" style="1" customWidth="1"/>
    <col min="5" max="11" width="9.140625" style="1"/>
    <col min="12" max="12" width="9.140625" style="1" customWidth="1"/>
    <col min="13" max="13" width="10.140625" style="1" customWidth="1"/>
    <col min="14" max="14" width="0.28515625" style="1" hidden="1" customWidth="1"/>
    <col min="15" max="16384" width="9.140625" style="1"/>
  </cols>
  <sheetData>
    <row r="1" spans="2:14" x14ac:dyDescent="0.2">
      <c r="B1" s="188" t="s">
        <v>14</v>
      </c>
    </row>
    <row r="2" spans="2:14" ht="8.25" customHeight="1" x14ac:dyDescent="0.2"/>
    <row r="3" spans="2:14" x14ac:dyDescent="0.2">
      <c r="B3" s="25" t="s">
        <v>209</v>
      </c>
      <c r="N3" s="190">
        <v>1</v>
      </c>
    </row>
    <row r="4" spans="2:14" ht="23.25" customHeight="1" x14ac:dyDescent="0.2">
      <c r="N4" s="4"/>
    </row>
    <row r="5" spans="2:14" ht="42" customHeight="1" x14ac:dyDescent="0.2">
      <c r="B5" s="199" t="s">
        <v>214</v>
      </c>
      <c r="D5" s="197" t="s">
        <v>212</v>
      </c>
      <c r="N5" s="189">
        <f>IF(N3=2,0,IF(D6&lt;=80,D6,80))</f>
        <v>80</v>
      </c>
    </row>
    <row r="6" spans="2:14" ht="21" customHeight="1" x14ac:dyDescent="0.2">
      <c r="B6" s="200">
        <v>0.05</v>
      </c>
      <c r="C6" s="109"/>
      <c r="D6" s="201">
        <v>410</v>
      </c>
      <c r="E6" s="109"/>
      <c r="F6" s="109"/>
      <c r="N6" s="189">
        <f>IF(N3=2,0,IF((D6-N5)/0.96&lt;=170,(D6-N5)/0.96,170))</f>
        <v>170</v>
      </c>
    </row>
    <row r="7" spans="2:14" ht="21" customHeight="1" x14ac:dyDescent="0.2">
      <c r="C7" s="7"/>
      <c r="D7" s="176"/>
      <c r="E7" s="109"/>
      <c r="F7" s="109"/>
      <c r="N7" s="189">
        <f>IF(N3=2,0,IF(N6=170,IF((D6+N9-250)/0.92&lt;=200,(D6+N9-250)/0.92,200),0))</f>
        <v>181.30434782608697</v>
      </c>
    </row>
    <row r="8" spans="2:14" ht="21" customHeight="1" x14ac:dyDescent="0.2">
      <c r="B8" s="192" t="s">
        <v>157</v>
      </c>
      <c r="C8" s="191"/>
      <c r="D8" s="202">
        <f>N9+N10+N11</f>
        <v>21.304347826086957</v>
      </c>
      <c r="E8" s="5"/>
      <c r="F8" s="5"/>
      <c r="G8" s="4"/>
      <c r="N8" s="189">
        <f>IF(N3=2,D6/0.9,IF(N7=200,(D6+N9+N10-450)/0.9,0))</f>
        <v>0</v>
      </c>
    </row>
    <row r="9" spans="2:14" ht="27" customHeight="1" x14ac:dyDescent="0.2">
      <c r="B9" s="193" t="s">
        <v>210</v>
      </c>
      <c r="C9" s="193"/>
      <c r="D9" s="194"/>
      <c r="E9" s="5"/>
      <c r="F9" s="5"/>
      <c r="G9" s="4"/>
      <c r="N9" s="189">
        <f>N6*0.04</f>
        <v>6.8</v>
      </c>
    </row>
    <row r="10" spans="2:14" ht="15" customHeight="1" x14ac:dyDescent="0.2">
      <c r="B10" s="195" t="s">
        <v>211</v>
      </c>
      <c r="C10" s="196"/>
      <c r="D10" s="203">
        <f>D12-N13</f>
        <v>22.70022883295195</v>
      </c>
      <c r="E10" s="5"/>
      <c r="F10" s="5"/>
      <c r="G10" s="4"/>
      <c r="N10" s="189">
        <f>N7*0.08</f>
        <v>14.504347826086958</v>
      </c>
    </row>
    <row r="11" spans="2:14" ht="21" customHeight="1" x14ac:dyDescent="0.2">
      <c r="D11" s="5"/>
      <c r="E11" s="5"/>
      <c r="F11" s="5"/>
      <c r="G11" s="4"/>
      <c r="N11" s="189">
        <f>N8*0.1</f>
        <v>0</v>
      </c>
    </row>
    <row r="12" spans="2:14" ht="21" customHeight="1" x14ac:dyDescent="0.2">
      <c r="C12" s="198" t="s">
        <v>213</v>
      </c>
      <c r="D12" s="204">
        <f>N13/(1-B6)</f>
        <v>454.00457665903889</v>
      </c>
      <c r="E12" s="5"/>
      <c r="F12" s="5"/>
      <c r="G12" s="4"/>
    </row>
    <row r="13" spans="2:14" ht="21" customHeight="1" x14ac:dyDescent="0.2">
      <c r="B13" s="5"/>
      <c r="E13" s="5"/>
      <c r="F13" s="5"/>
      <c r="G13" s="4"/>
      <c r="N13" s="189">
        <f>D6+D8</f>
        <v>431.30434782608694</v>
      </c>
    </row>
    <row r="14" spans="2:14" ht="21" customHeight="1" x14ac:dyDescent="0.2">
      <c r="B14" s="5"/>
      <c r="E14" s="5"/>
      <c r="F14" s="5"/>
      <c r="G14" s="4"/>
    </row>
    <row r="15" spans="2:14" ht="21" customHeight="1" x14ac:dyDescent="0.2">
      <c r="B15" s="5"/>
      <c r="C15" s="5"/>
      <c r="D15" s="5"/>
      <c r="E15" s="5"/>
      <c r="F15" s="5"/>
      <c r="G15" s="4"/>
      <c r="N15" s="4"/>
    </row>
    <row r="16" spans="2:14" ht="21" customHeight="1" x14ac:dyDescent="0.2">
      <c r="B16" s="109"/>
      <c r="C16" s="109"/>
      <c r="D16" s="109"/>
      <c r="E16" s="5"/>
      <c r="F16" s="5"/>
      <c r="G16" s="4"/>
      <c r="N16" s="4"/>
    </row>
    <row r="17" spans="2:14" ht="21" customHeight="1" x14ac:dyDescent="0.2">
      <c r="B17" s="109"/>
      <c r="C17" s="109"/>
      <c r="D17" s="109"/>
      <c r="E17" s="5"/>
      <c r="F17" s="5"/>
      <c r="G17" s="4"/>
      <c r="N17" s="4" t="s">
        <v>207</v>
      </c>
    </row>
    <row r="18" spans="2:14" ht="21" customHeight="1" x14ac:dyDescent="0.2">
      <c r="B18" s="109"/>
      <c r="C18" s="109"/>
      <c r="D18" s="109"/>
      <c r="E18" s="5"/>
      <c r="F18" s="5"/>
      <c r="G18" s="4"/>
      <c r="N18" s="4" t="s">
        <v>208</v>
      </c>
    </row>
    <row r="19" spans="2:14" x14ac:dyDescent="0.2">
      <c r="B19" s="109"/>
      <c r="C19" s="109"/>
      <c r="D19" s="109"/>
      <c r="E19" s="109"/>
      <c r="F19" s="109"/>
    </row>
    <row r="20" spans="2:14" x14ac:dyDescent="0.2">
      <c r="B20" s="109"/>
      <c r="C20" s="109"/>
      <c r="D20" s="109"/>
      <c r="E20" s="109"/>
      <c r="F20" s="109"/>
    </row>
    <row r="21" spans="2:14" x14ac:dyDescent="0.2">
      <c r="E21" s="109"/>
      <c r="F21" s="109"/>
    </row>
    <row r="22" spans="2:14" x14ac:dyDescent="0.2">
      <c r="E22" s="109"/>
      <c r="F22" s="109"/>
    </row>
    <row r="23" spans="2:14" x14ac:dyDescent="0.2">
      <c r="E23" s="109"/>
      <c r="F23" s="109"/>
    </row>
  </sheetData>
  <customSheetViews>
    <customSheetView guid="{CE29130D-F54B-4517-B637-01D908CB90D3}" scale="140" showGridLines="0" hiddenColumns="1" showRuler="0">
      <pane xSplit="5" ySplit="13" topLeftCell="I14" activePane="bottomRight" state="frozen"/>
      <selection pane="bottomRight" activeCell="B1" sqref="B1"/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35" type="noConversion"/>
  <dataValidations count="1">
    <dataValidation type="whole" allowBlank="1" showInputMessage="1" showErrorMessage="1" sqref="N3">
      <formula1>1</formula1>
      <formula2>2</formula2>
    </dataValidation>
  </dataValidations>
  <hyperlinks>
    <hyperlink ref="B1" location="Permbajtja!A1" display="Kthehu prapa"/>
  </hyperlinks>
  <pageMargins left="0.75" right="0.75" top="1" bottom="1" header="0.5" footer="0.5"/>
  <pageSetup paperSize="9" orientation="portrait" verticalDpi="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Drop Down 1">
              <controlPr defaultSize="0" autoLine="0" autoPict="0">
                <anchor moveWithCells="1">
                  <from>
                    <xdr:col>1</xdr:col>
                    <xdr:colOff>28575</xdr:colOff>
                    <xdr:row>3</xdr:row>
                    <xdr:rowOff>19050</xdr:rowOff>
                  </from>
                  <to>
                    <xdr:col>2</xdr:col>
                    <xdr:colOff>28575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B58"/>
  <sheetViews>
    <sheetView showGridLines="0" zoomScale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37.28515625" style="256" customWidth="1"/>
    <col min="2" max="2" width="23.85546875" style="256" customWidth="1"/>
    <col min="3" max="16384" width="9.140625" style="256"/>
  </cols>
  <sheetData>
    <row r="1" spans="1:2" ht="27" customHeight="1" x14ac:dyDescent="0.2">
      <c r="A1" s="272" t="s">
        <v>14</v>
      </c>
    </row>
    <row r="2" spans="1:2" ht="27" customHeight="1" x14ac:dyDescent="0.2">
      <c r="A2" s="257" t="s">
        <v>225</v>
      </c>
    </row>
    <row r="3" spans="1:2" x14ac:dyDescent="0.2">
      <c r="A3" s="258"/>
      <c r="B3" s="259"/>
    </row>
    <row r="4" spans="1:2" ht="30" customHeight="1" x14ac:dyDescent="0.2">
      <c r="A4" s="284" t="s">
        <v>222</v>
      </c>
      <c r="B4" s="259"/>
    </row>
    <row r="5" spans="1:2" ht="21" customHeight="1" x14ac:dyDescent="0.2">
      <c r="A5" s="280" t="s">
        <v>223</v>
      </c>
    </row>
    <row r="6" spans="1:2" ht="21" customHeight="1" x14ac:dyDescent="0.2">
      <c r="A6" s="283" t="s">
        <v>241</v>
      </c>
    </row>
    <row r="7" spans="1:2" ht="21" customHeight="1" x14ac:dyDescent="0.2">
      <c r="A7" s="283" t="s">
        <v>243</v>
      </c>
    </row>
    <row r="8" spans="1:2" ht="15" customHeight="1" x14ac:dyDescent="0.2">
      <c r="A8" s="258"/>
      <c r="B8" s="260"/>
    </row>
    <row r="9" spans="1:2" ht="24" customHeight="1" x14ac:dyDescent="0.25">
      <c r="A9" s="273" t="s">
        <v>224</v>
      </c>
      <c r="B9" s="260"/>
    </row>
    <row r="10" spans="1:2" s="262" customFormat="1" ht="32.25" customHeight="1" x14ac:dyDescent="0.2">
      <c r="A10" s="282" t="s">
        <v>226</v>
      </c>
    </row>
    <row r="11" spans="1:2" s="262" customFormat="1" ht="15" customHeight="1" x14ac:dyDescent="0.2">
      <c r="A11" s="282" t="s">
        <v>221</v>
      </c>
    </row>
    <row r="12" spans="1:2" ht="40.5" customHeight="1" x14ac:dyDescent="0.25">
      <c r="A12" s="271" t="s">
        <v>230</v>
      </c>
      <c r="B12" s="260"/>
    </row>
    <row r="13" spans="1:2" s="262" customFormat="1" ht="21" customHeight="1" x14ac:dyDescent="0.2">
      <c r="A13" s="281" t="s">
        <v>231</v>
      </c>
    </row>
    <row r="14" spans="1:2" s="262" customFormat="1" ht="20.25" customHeight="1" x14ac:dyDescent="0.2">
      <c r="A14" s="277" t="s">
        <v>235</v>
      </c>
    </row>
    <row r="15" spans="1:2" s="262" customFormat="1" ht="21" customHeight="1" x14ac:dyDescent="0.2">
      <c r="A15" s="282" t="s">
        <v>237</v>
      </c>
    </row>
    <row r="16" spans="1:2" s="262" customFormat="1" ht="21" customHeight="1" x14ac:dyDescent="0.2">
      <c r="A16" s="282" t="s">
        <v>238</v>
      </c>
    </row>
    <row r="17" spans="1:2" s="262" customFormat="1" ht="21" customHeight="1" x14ac:dyDescent="0.2">
      <c r="A17" s="282" t="s">
        <v>239</v>
      </c>
    </row>
    <row r="18" spans="1:2" s="262" customFormat="1" ht="21" customHeight="1" x14ac:dyDescent="0.2">
      <c r="A18" s="282" t="s">
        <v>240</v>
      </c>
    </row>
    <row r="19" spans="1:2" s="262" customFormat="1" ht="15" customHeight="1" x14ac:dyDescent="0.2">
      <c r="A19" s="263"/>
    </row>
    <row r="20" spans="1:2" s="262" customFormat="1" ht="15" customHeight="1" x14ac:dyDescent="0.2">
      <c r="A20" s="285" t="s">
        <v>187</v>
      </c>
    </row>
    <row r="21" spans="1:2" s="262" customFormat="1" ht="15" customHeight="1" x14ac:dyDescent="0.2">
      <c r="A21" s="263" t="s">
        <v>188</v>
      </c>
    </row>
    <row r="22" spans="1:2" s="262" customFormat="1" ht="15" customHeight="1" x14ac:dyDescent="0.2">
      <c r="A22" s="263" t="s">
        <v>189</v>
      </c>
    </row>
    <row r="23" spans="1:2" s="262" customFormat="1" ht="21" customHeight="1" x14ac:dyDescent="0.2">
      <c r="A23" s="279" t="s">
        <v>242</v>
      </c>
    </row>
    <row r="24" spans="1:2" ht="40.5" customHeight="1" x14ac:dyDescent="0.25">
      <c r="A24" s="273" t="s">
        <v>234</v>
      </c>
      <c r="B24" s="260"/>
    </row>
    <row r="25" spans="1:2" s="266" customFormat="1" ht="21.75" customHeight="1" x14ac:dyDescent="0.25">
      <c r="A25" s="278" t="s">
        <v>204</v>
      </c>
      <c r="B25" s="265"/>
    </row>
    <row r="26" spans="1:2" ht="35.25" customHeight="1" x14ac:dyDescent="0.2">
      <c r="A26" s="267" t="s">
        <v>227</v>
      </c>
      <c r="B26" s="264"/>
    </row>
    <row r="27" spans="1:2" ht="27" customHeight="1" x14ac:dyDescent="0.2">
      <c r="A27" s="261" t="s">
        <v>195</v>
      </c>
      <c r="B27" s="264"/>
    </row>
    <row r="28" spans="1:2" s="266" customFormat="1" ht="12" customHeight="1" x14ac:dyDescent="0.2">
      <c r="A28" s="268"/>
      <c r="B28" s="265"/>
    </row>
    <row r="29" spans="1:2" s="266" customFormat="1" ht="12" customHeight="1" x14ac:dyDescent="0.2">
      <c r="A29" s="268"/>
      <c r="B29" s="265"/>
    </row>
    <row r="30" spans="1:2" s="266" customFormat="1" ht="12" customHeight="1" x14ac:dyDescent="0.2">
      <c r="A30" s="268"/>
      <c r="B30" s="265"/>
    </row>
    <row r="31" spans="1:2" s="266" customFormat="1" ht="21.75" customHeight="1" x14ac:dyDescent="0.2">
      <c r="A31" s="261" t="s">
        <v>196</v>
      </c>
      <c r="B31" s="265"/>
    </row>
    <row r="32" spans="1:2" s="266" customFormat="1" ht="21.75" customHeight="1" x14ac:dyDescent="0.2">
      <c r="A32" s="268"/>
      <c r="B32" s="265"/>
    </row>
    <row r="33" spans="1:2" s="266" customFormat="1" ht="33" customHeight="1" x14ac:dyDescent="0.2">
      <c r="A33" s="275" t="s">
        <v>198</v>
      </c>
      <c r="B33" s="265"/>
    </row>
    <row r="34" spans="1:2" ht="36" customHeight="1" x14ac:dyDescent="0.2">
      <c r="A34" s="274" t="s">
        <v>228</v>
      </c>
      <c r="B34" s="264"/>
    </row>
    <row r="35" spans="1:2" ht="33" customHeight="1" x14ac:dyDescent="0.2">
      <c r="A35" s="276" t="s">
        <v>199</v>
      </c>
      <c r="B35" s="264"/>
    </row>
    <row r="36" spans="1:2" ht="36" customHeight="1" x14ac:dyDescent="0.2">
      <c r="A36" s="274" t="s">
        <v>233</v>
      </c>
      <c r="B36" s="264"/>
    </row>
    <row r="37" spans="1:2" ht="33" customHeight="1" x14ac:dyDescent="0.2">
      <c r="A37" s="276" t="s">
        <v>20</v>
      </c>
      <c r="B37" s="264"/>
    </row>
    <row r="38" spans="1:2" ht="51" customHeight="1" x14ac:dyDescent="0.2">
      <c r="A38" s="274" t="s">
        <v>232</v>
      </c>
      <c r="B38" s="264"/>
    </row>
    <row r="39" spans="1:2" ht="24" customHeight="1" x14ac:dyDescent="0.2">
      <c r="A39" s="276" t="s">
        <v>200</v>
      </c>
      <c r="B39" s="264"/>
    </row>
    <row r="40" spans="1:2" ht="21" customHeight="1" x14ac:dyDescent="0.2">
      <c r="A40" s="274" t="s">
        <v>201</v>
      </c>
      <c r="B40" s="264"/>
    </row>
    <row r="41" spans="1:2" ht="33" customHeight="1" x14ac:dyDescent="0.2">
      <c r="A41" s="276" t="s">
        <v>205</v>
      </c>
      <c r="B41" s="264"/>
    </row>
    <row r="42" spans="1:2" ht="21" customHeight="1" x14ac:dyDescent="0.2">
      <c r="A42" s="269" t="s">
        <v>202</v>
      </c>
      <c r="B42" s="264"/>
    </row>
    <row r="43" spans="1:2" ht="33" customHeight="1" x14ac:dyDescent="0.2">
      <c r="A43" s="276" t="s">
        <v>197</v>
      </c>
      <c r="B43" s="264"/>
    </row>
    <row r="44" spans="1:2" ht="36" customHeight="1" x14ac:dyDescent="0.2">
      <c r="A44" s="269" t="s">
        <v>229</v>
      </c>
      <c r="B44" s="264"/>
    </row>
    <row r="45" spans="1:2" ht="33" customHeight="1" x14ac:dyDescent="0.2">
      <c r="A45" s="276" t="s">
        <v>203</v>
      </c>
      <c r="B45" s="264"/>
    </row>
    <row r="46" spans="1:2" ht="48.75" customHeight="1" x14ac:dyDescent="0.2">
      <c r="A46" s="269" t="s">
        <v>236</v>
      </c>
      <c r="B46" s="264"/>
    </row>
    <row r="47" spans="1:2" ht="36" customHeight="1" x14ac:dyDescent="0.2">
      <c r="A47" s="269"/>
      <c r="B47" s="264"/>
    </row>
    <row r="48" spans="1:2" ht="15" customHeight="1" x14ac:dyDescent="0.2">
      <c r="A48" s="270"/>
    </row>
    <row r="49" spans="1:1" ht="15" customHeight="1" x14ac:dyDescent="0.2">
      <c r="A49" s="270"/>
    </row>
    <row r="50" spans="1:1" x14ac:dyDescent="0.2">
      <c r="A50" s="270"/>
    </row>
    <row r="51" spans="1:1" x14ac:dyDescent="0.2">
      <c r="A51" s="270"/>
    </row>
    <row r="52" spans="1:1" x14ac:dyDescent="0.2">
      <c r="A52" s="270"/>
    </row>
    <row r="53" spans="1:1" x14ac:dyDescent="0.2">
      <c r="A53" s="270"/>
    </row>
    <row r="54" spans="1:1" x14ac:dyDescent="0.2">
      <c r="A54" s="270"/>
    </row>
    <row r="55" spans="1:1" x14ac:dyDescent="0.2">
      <c r="A55" s="270"/>
    </row>
    <row r="56" spans="1:1" x14ac:dyDescent="0.2">
      <c r="A56" s="270"/>
    </row>
    <row r="57" spans="1:1" x14ac:dyDescent="0.2">
      <c r="A57" s="270"/>
    </row>
    <row r="58" spans="1:1" x14ac:dyDescent="0.2">
      <c r="A58" s="270"/>
    </row>
  </sheetData>
  <sheetProtection password="88D1" sheet="1" objects="1" scenarios="1"/>
  <customSheetViews>
    <customSheetView guid="{09AFD497-C868-4385-9AB3-7F1632F55388}" showGridLines="0" showRuler="0">
      <pane xSplit="2" ySplit="3" topLeftCell="C5" activePane="bottomRight" state="frozen"/>
      <selection pane="bottomRight"/>
      <pageMargins left="0.5" right="0.5" top="1" bottom="1" header="0.5" footer="0.5"/>
      <printOptions horizontalCentered="1"/>
      <pageSetup paperSize="9" scale="90" orientation="portrait" verticalDpi="0" r:id="rId1"/>
      <headerFooter alignWithMargins="0"/>
    </customSheetView>
    <customSheetView guid="{CE29130D-F54B-4517-B637-01D908CB90D3}" scale="90" showGridLines="0" showRuler="0">
      <pane xSplit="1" ySplit="1" topLeftCell="B2" activePane="bottomRight" state="frozen"/>
      <selection pane="bottomRight"/>
      <pageMargins left="0.3" right="0.3" top="1" bottom="1" header="0.5" footer="0.5"/>
      <printOptions horizontalCentered="1"/>
      <pageSetup paperSize="9" scale="60" orientation="portrait" verticalDpi="0" r:id="rId2"/>
      <headerFooter alignWithMargins="0"/>
    </customSheetView>
  </customSheetViews>
  <phoneticPr fontId="0" type="noConversion"/>
  <hyperlinks>
    <hyperlink ref="A1" location="Permbajtja!A1" display="Kthehu prapa"/>
  </hyperlinks>
  <printOptions horizontalCentered="1"/>
  <pageMargins left="0.3" right="0.3" top="1" bottom="1" header="0.5" footer="0.5"/>
  <pageSetup paperSize="9" scale="60" orientation="portrait" verticalDpi="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8" r:id="rId6" name="Drop Down 10">
              <controlPr defaultSize="0" autoLine="0" autoPict="0">
                <anchor moveWithCells="1">
                  <from>
                    <xdr:col>0</xdr:col>
                    <xdr:colOff>1200150</xdr:colOff>
                    <xdr:row>26</xdr:row>
                    <xdr:rowOff>114300</xdr:rowOff>
                  </from>
                  <to>
                    <xdr:col>0</xdr:col>
                    <xdr:colOff>2371725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7" name="Spinner 11">
              <controlPr defaultSize="0" autoPict="0">
                <anchor moveWithCells="1" sizeWithCells="1">
                  <from>
                    <xdr:col>0</xdr:col>
                    <xdr:colOff>847725</xdr:colOff>
                    <xdr:row>29</xdr:row>
                    <xdr:rowOff>104775</xdr:rowOff>
                  </from>
                  <to>
                    <xdr:col>0</xdr:col>
                    <xdr:colOff>1190625</xdr:colOff>
                    <xdr:row>31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D25"/>
  <sheetViews>
    <sheetView showGridLines="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B1" sqref="B1"/>
    </sheetView>
  </sheetViews>
  <sheetFormatPr defaultRowHeight="12.75" x14ac:dyDescent="0.2"/>
  <cols>
    <col min="1" max="1" width="1.85546875" customWidth="1"/>
    <col min="2" max="2" width="53.7109375" customWidth="1"/>
    <col min="3" max="3" width="40.7109375" customWidth="1"/>
    <col min="4" max="4" width="2.85546875" customWidth="1"/>
  </cols>
  <sheetData>
    <row r="1" spans="1:4" ht="18" customHeight="1" x14ac:dyDescent="0.2">
      <c r="B1" s="287" t="s">
        <v>14</v>
      </c>
    </row>
    <row r="2" spans="1:4" ht="27.75" customHeight="1" x14ac:dyDescent="0.25">
      <c r="A2" s="4"/>
      <c r="B2" s="288" t="s">
        <v>245</v>
      </c>
      <c r="C2" s="290" t="s">
        <v>246</v>
      </c>
      <c r="D2" s="4"/>
    </row>
    <row r="3" spans="1:4" ht="21" customHeight="1" x14ac:dyDescent="0.2">
      <c r="A3" s="4"/>
      <c r="B3" s="289" t="s">
        <v>250</v>
      </c>
      <c r="C3" s="177" t="s">
        <v>98</v>
      </c>
      <c r="D3" s="4"/>
    </row>
    <row r="4" spans="1:4" ht="18" customHeight="1" x14ac:dyDescent="0.2">
      <c r="A4" s="4"/>
      <c r="C4" s="177" t="s">
        <v>103</v>
      </c>
      <c r="D4" s="4"/>
    </row>
    <row r="5" spans="1:4" ht="29.25" customHeight="1" x14ac:dyDescent="0.25">
      <c r="A5" s="4"/>
      <c r="B5" s="292" t="s">
        <v>247</v>
      </c>
      <c r="C5" s="291"/>
      <c r="D5" s="4"/>
    </row>
    <row r="6" spans="1:4" ht="42" customHeight="1" x14ac:dyDescent="0.2">
      <c r="A6" s="4"/>
      <c r="B6" s="429" t="s">
        <v>248</v>
      </c>
      <c r="C6" s="429"/>
      <c r="D6" s="4"/>
    </row>
    <row r="7" spans="1:4" ht="42" customHeight="1" x14ac:dyDescent="0.2">
      <c r="A7" s="4"/>
      <c r="B7" s="430" t="s">
        <v>206</v>
      </c>
      <c r="C7" s="430"/>
      <c r="D7" s="4"/>
    </row>
    <row r="8" spans="1:4" ht="27" customHeight="1" x14ac:dyDescent="0.25">
      <c r="A8" s="4"/>
      <c r="B8" s="24" t="s">
        <v>100</v>
      </c>
      <c r="C8" s="177"/>
      <c r="D8" s="4"/>
    </row>
    <row r="9" spans="1:4" ht="6" customHeight="1" x14ac:dyDescent="0.2">
      <c r="A9" s="4"/>
      <c r="B9" s="41"/>
      <c r="C9" s="177"/>
      <c r="D9" s="4"/>
    </row>
    <row r="10" spans="1:4" ht="27" customHeight="1" x14ac:dyDescent="0.2">
      <c r="A10" s="4"/>
      <c r="B10" s="178" t="s">
        <v>101</v>
      </c>
      <c r="C10" s="179" t="s">
        <v>102</v>
      </c>
      <c r="D10" s="4"/>
    </row>
    <row r="11" spans="1:4" ht="18" customHeight="1" x14ac:dyDescent="0.2">
      <c r="A11" s="4"/>
      <c r="B11" s="180" t="s">
        <v>244</v>
      </c>
      <c r="C11" s="181" t="s">
        <v>99</v>
      </c>
      <c r="D11" s="4"/>
    </row>
    <row r="12" spans="1:4" ht="18" customHeight="1" x14ac:dyDescent="0.2">
      <c r="A12" s="4"/>
      <c r="B12" s="182" t="s">
        <v>184</v>
      </c>
      <c r="C12" s="183">
        <v>30</v>
      </c>
      <c r="D12" s="4"/>
    </row>
    <row r="13" spans="1:4" ht="18" customHeight="1" x14ac:dyDescent="0.2">
      <c r="A13" s="4"/>
      <c r="B13" s="184" t="s">
        <v>185</v>
      </c>
      <c r="C13" s="185">
        <v>50</v>
      </c>
      <c r="D13" s="4"/>
    </row>
    <row r="14" spans="1:4" ht="18" customHeight="1" x14ac:dyDescent="0.2">
      <c r="A14" s="4"/>
      <c r="B14" s="184" t="s">
        <v>186</v>
      </c>
      <c r="C14" s="185">
        <v>100</v>
      </c>
      <c r="D14" s="4"/>
    </row>
    <row r="15" spans="1:4" ht="18" customHeight="1" x14ac:dyDescent="0.2">
      <c r="A15" s="4"/>
      <c r="B15" s="186" t="s">
        <v>193</v>
      </c>
      <c r="C15" s="187" t="s">
        <v>194</v>
      </c>
      <c r="D15" s="4"/>
    </row>
    <row r="16" spans="1:4" x14ac:dyDescent="0.2">
      <c r="A16" s="4"/>
      <c r="B16" s="4"/>
      <c r="C16" s="4"/>
      <c r="D16" s="4"/>
    </row>
    <row r="17" spans="1:4" ht="13.5" customHeight="1" x14ac:dyDescent="0.2">
      <c r="A17" s="4"/>
      <c r="B17" s="427" t="s">
        <v>220</v>
      </c>
      <c r="C17" s="427"/>
      <c r="D17" s="4"/>
    </row>
    <row r="18" spans="1:4" ht="13.5" customHeight="1" x14ac:dyDescent="0.2">
      <c r="A18" s="4"/>
      <c r="B18" s="427" t="s">
        <v>190</v>
      </c>
      <c r="C18" s="427"/>
      <c r="D18" s="4"/>
    </row>
    <row r="19" spans="1:4" ht="13.5" customHeight="1" x14ac:dyDescent="0.2">
      <c r="A19" s="4"/>
      <c r="B19" s="238"/>
      <c r="C19" s="238"/>
      <c r="D19" s="4"/>
    </row>
    <row r="20" spans="1:4" ht="20.25" customHeight="1" x14ac:dyDescent="0.2">
      <c r="A20" s="4"/>
      <c r="B20" s="428" t="s">
        <v>217</v>
      </c>
      <c r="C20" s="428"/>
      <c r="D20" s="4"/>
    </row>
    <row r="21" spans="1:4" ht="15" customHeight="1" x14ac:dyDescent="0.2">
      <c r="A21" s="4"/>
      <c r="B21" s="286"/>
      <c r="C21" s="286"/>
      <c r="D21" s="4"/>
    </row>
    <row r="22" spans="1:4" ht="57" customHeight="1" x14ac:dyDescent="0.2">
      <c r="A22" s="4"/>
      <c r="B22" s="425" t="s">
        <v>249</v>
      </c>
      <c r="C22" s="426"/>
      <c r="D22" s="4"/>
    </row>
    <row r="23" spans="1:4" x14ac:dyDescent="0.2">
      <c r="A23" s="4"/>
      <c r="B23" s="4"/>
      <c r="C23" s="4"/>
      <c r="D23" s="4"/>
    </row>
    <row r="24" spans="1:4" x14ac:dyDescent="0.2">
      <c r="A24" s="4"/>
      <c r="B24" s="4"/>
      <c r="C24" s="4"/>
      <c r="D24" s="4"/>
    </row>
    <row r="25" spans="1:4" x14ac:dyDescent="0.2">
      <c r="A25" s="4"/>
      <c r="B25" s="4"/>
      <c r="C25" s="4"/>
      <c r="D25" s="4"/>
    </row>
  </sheetData>
  <sheetProtection password="88D1" sheet="1" objects="1" scenarios="1"/>
  <customSheetViews>
    <customSheetView guid="{09AFD497-C868-4385-9AB3-7F1632F55388}" showGridLines="0" showRuler="0">
      <pane xSplit="4" ySplit="22" topLeftCell="E23" activePane="bottomRight" state="frozen"/>
      <selection pane="bottomRight" activeCell="B1" sqref="B1"/>
      <pageMargins left="0.75" right="0.75" top="1" bottom="1" header="0.5" footer="0.5"/>
      <pageSetup orientation="portrait" verticalDpi="0" r:id="rId1"/>
      <headerFooter alignWithMargins="0"/>
    </customSheetView>
    <customSheetView guid="{CE29130D-F54B-4517-B637-01D908CB90D3}" showGridLines="0" showRuler="0">
      <pane xSplit="4" ySplit="2" topLeftCell="E3" activePane="bottomRight" state="frozen"/>
      <selection pane="bottomRight" activeCell="B1" sqref="B1"/>
      <pageMargins left="0.75" right="0.75" top="1" bottom="1" header="0.5" footer="0.5"/>
      <pageSetup scale="90" orientation="portrait" verticalDpi="0" r:id="rId2"/>
      <headerFooter alignWithMargins="0"/>
    </customSheetView>
  </customSheetViews>
  <mergeCells count="6">
    <mergeCell ref="B22:C22"/>
    <mergeCell ref="B18:C18"/>
    <mergeCell ref="B20:C20"/>
    <mergeCell ref="B6:C6"/>
    <mergeCell ref="B7:C7"/>
    <mergeCell ref="B17:C17"/>
  </mergeCells>
  <phoneticPr fontId="0" type="noConversion"/>
  <hyperlinks>
    <hyperlink ref="B1" location="Permbajtja!A1" display="Kthehu prapa"/>
  </hyperlinks>
  <pageMargins left="0.75" right="0.75" top="1" bottom="1" header="0.5" footer="0.5"/>
  <pageSetup scale="90" orientation="portrait" verticalDpi="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7"/>
  <sheetViews>
    <sheetView showGridLines="0" showZeros="0" workbookViewId="0">
      <pane xSplit="5" ySplit="10" topLeftCell="F11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4257812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3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4" ht="24" customHeight="1" x14ac:dyDescent="0.2">
      <c r="C2" s="307"/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3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3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24" ht="24" customHeight="1" x14ac:dyDescent="0.3">
      <c r="C8" s="299" t="str">
        <f>"Janar"&amp;" "&amp;Shenime!H7</f>
        <v>Janar 2019</v>
      </c>
      <c r="D8" s="300"/>
      <c r="F8" s="132">
        <f>SUBTOTAL(9,F11:F21)</f>
        <v>0</v>
      </c>
      <c r="G8" s="132">
        <f>SUBTOTAL(9,G11:G21)</f>
        <v>0</v>
      </c>
      <c r="H8" s="312" t="s">
        <v>12</v>
      </c>
      <c r="I8" s="312"/>
      <c r="J8" s="132">
        <f t="shared" ref="J8:X8" si="0">SUBTOTAL(9,J11:J21)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3:24" ht="4.5" customHeight="1" x14ac:dyDescent="0.2">
      <c r="H9" s="313"/>
      <c r="I9" s="313"/>
    </row>
    <row r="10" spans="3:24" ht="39" customHeight="1" x14ac:dyDescent="0.2">
      <c r="C10" s="209" t="s">
        <v>0</v>
      </c>
      <c r="D10" s="209" t="s">
        <v>4</v>
      </c>
      <c r="E10" s="224" t="s">
        <v>215</v>
      </c>
      <c r="F10" s="211" t="s">
        <v>10</v>
      </c>
      <c r="G10" s="211" t="s">
        <v>163</v>
      </c>
      <c r="H10" s="223" t="s">
        <v>105</v>
      </c>
      <c r="I10" s="223" t="s">
        <v>104</v>
      </c>
      <c r="J10" s="210" t="s">
        <v>11</v>
      </c>
      <c r="K10" s="210" t="s">
        <v>106</v>
      </c>
      <c r="L10" s="211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11" t="s">
        <v>164</v>
      </c>
      <c r="W10" s="211" t="s">
        <v>166</v>
      </c>
      <c r="X10" s="211" t="s">
        <v>165</v>
      </c>
    </row>
    <row r="11" spans="3:24" ht="21" customHeight="1" x14ac:dyDescent="0.2"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3:24" ht="21" customHeight="1" x14ac:dyDescent="0.2"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1" si="1">F12*H12</f>
        <v>0</v>
      </c>
      <c r="K12" s="219">
        <f t="shared" ref="K12:K21" si="2">F12*I12</f>
        <v>0</v>
      </c>
      <c r="L12" s="220">
        <f t="shared" ref="L12:L21" si="3">J12+K12</f>
        <v>0</v>
      </c>
      <c r="M12" s="221">
        <f t="shared" ref="M12:M21" si="4">F12-J12</f>
        <v>0</v>
      </c>
      <c r="N12" s="221">
        <f t="shared" ref="N12:N21" si="5">IF(M12&lt;=80,M12,80)*IF(E12=2,0,1)</f>
        <v>0</v>
      </c>
      <c r="O12" s="221">
        <f t="shared" ref="O12:O21" si="6">IF(N12=80,IF(M12-N12&lt;=170,M12-N12,170),0)*IF(E12=2,0,1)</f>
        <v>0</v>
      </c>
      <c r="P12" s="221">
        <f t="shared" ref="P12:P21" si="7">IF(O12=170,IF(M12-N12-O12&lt;=200,M12-N12-O12,200),0)*IF(E12=2,0,1)</f>
        <v>0</v>
      </c>
      <c r="Q12" s="221">
        <f t="shared" ref="Q12:Q21" si="8">IF(E12=2,M12,IF(P12=200,M12-N12-O12-P12,0))</f>
        <v>0</v>
      </c>
      <c r="R12" s="221">
        <f t="shared" ref="R12:R21" si="9">O12*0.04</f>
        <v>0</v>
      </c>
      <c r="S12" s="221">
        <f t="shared" ref="S12:S21" si="10">P12*0.08</f>
        <v>0</v>
      </c>
      <c r="T12" s="221">
        <f t="shared" ref="T12:T21" si="11">Q12*0.1</f>
        <v>0</v>
      </c>
      <c r="U12" s="220">
        <f t="shared" ref="U12:U21" si="12">R12+S12+T12</f>
        <v>0</v>
      </c>
      <c r="V12" s="221">
        <f t="shared" ref="V12:V21" si="13">M12-U12</f>
        <v>0</v>
      </c>
      <c r="W12" s="220">
        <f t="shared" ref="W12:W21" si="14">G12</f>
        <v>0</v>
      </c>
      <c r="X12" s="221">
        <f t="shared" ref="X12:X21" si="15">V12-W12</f>
        <v>0</v>
      </c>
    </row>
    <row r="13" spans="3:24" ht="21" customHeight="1" x14ac:dyDescent="0.2"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3:24" ht="21" customHeight="1" x14ac:dyDescent="0.2"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3:24" ht="21" customHeight="1" x14ac:dyDescent="0.2"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3:24" ht="21" customHeight="1" x14ac:dyDescent="0.2">
      <c r="C16" s="212">
        <v>6</v>
      </c>
      <c r="D16" s="206" t="s">
        <v>251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C17" s="212">
        <v>7</v>
      </c>
      <c r="D17" s="206" t="s">
        <v>255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C20" s="212"/>
      <c r="D20" s="213"/>
      <c r="E20" s="214"/>
      <c r="F20" s="215"/>
      <c r="G20" s="216"/>
      <c r="H20" s="217"/>
      <c r="I20" s="217"/>
      <c r="J20" s="218"/>
      <c r="K20" s="219"/>
      <c r="L20" s="220"/>
      <c r="M20" s="221"/>
      <c r="N20" s="221"/>
      <c r="O20" s="221"/>
      <c r="P20" s="221"/>
      <c r="Q20" s="221"/>
      <c r="R20" s="221"/>
      <c r="S20" s="221"/>
      <c r="T20" s="221"/>
      <c r="U20" s="220"/>
      <c r="V20" s="221"/>
      <c r="W20" s="220"/>
      <c r="X20" s="221"/>
    </row>
    <row r="21" spans="1:24" ht="21" customHeight="1" x14ac:dyDescent="0.2">
      <c r="C21" s="212">
        <v>10</v>
      </c>
      <c r="D21" s="213">
        <f>Shenime!C20</f>
        <v>0</v>
      </c>
      <c r="E21" s="214"/>
      <c r="F21" s="215"/>
      <c r="G21" s="216"/>
      <c r="H21" s="217">
        <v>0.05</v>
      </c>
      <c r="I21" s="217">
        <v>0.05</v>
      </c>
      <c r="J21" s="218">
        <f t="shared" si="1"/>
        <v>0</v>
      </c>
      <c r="K21" s="219">
        <f t="shared" si="2"/>
        <v>0</v>
      </c>
      <c r="L21" s="220">
        <f t="shared" si="3"/>
        <v>0</v>
      </c>
      <c r="M21" s="221">
        <f t="shared" si="4"/>
        <v>0</v>
      </c>
      <c r="N21" s="221">
        <f t="shared" si="5"/>
        <v>0</v>
      </c>
      <c r="O21" s="221">
        <f t="shared" si="6"/>
        <v>0</v>
      </c>
      <c r="P21" s="221">
        <f t="shared" si="7"/>
        <v>0</v>
      </c>
      <c r="Q21" s="221">
        <f t="shared" si="8"/>
        <v>0</v>
      </c>
      <c r="R21" s="221">
        <f t="shared" si="9"/>
        <v>0</v>
      </c>
      <c r="S21" s="221">
        <f t="shared" si="10"/>
        <v>0</v>
      </c>
      <c r="T21" s="221">
        <f t="shared" si="11"/>
        <v>0</v>
      </c>
      <c r="U21" s="220">
        <f t="shared" si="12"/>
        <v>0</v>
      </c>
      <c r="V21" s="221">
        <f t="shared" si="13"/>
        <v>0</v>
      </c>
      <c r="W21" s="220">
        <f t="shared" si="14"/>
        <v>0</v>
      </c>
      <c r="X21" s="221">
        <f t="shared" si="15"/>
        <v>0</v>
      </c>
    </row>
    <row r="22" spans="1:24" ht="21" customHeight="1" x14ac:dyDescent="0.2"/>
    <row r="23" spans="1:24" ht="21" customHeight="1" x14ac:dyDescent="0.2">
      <c r="F23" s="311" t="s">
        <v>45</v>
      </c>
      <c r="G23" s="311"/>
      <c r="H23" s="311"/>
      <c r="I23" s="311"/>
      <c r="J23" s="311"/>
      <c r="K23" s="311"/>
      <c r="L23" s="295" t="s">
        <v>50</v>
      </c>
    </row>
    <row r="24" spans="1:24" ht="21" customHeight="1" x14ac:dyDescent="0.2">
      <c r="F24" s="66" t="s">
        <v>46</v>
      </c>
      <c r="G24" s="66" t="s">
        <v>47</v>
      </c>
      <c r="H24" s="295" t="s">
        <v>48</v>
      </c>
      <c r="I24" s="295"/>
      <c r="J24" s="295" t="s">
        <v>49</v>
      </c>
      <c r="K24" s="295"/>
      <c r="L24" s="295"/>
    </row>
    <row r="25" spans="1:24" customFormat="1" x14ac:dyDescent="0.2">
      <c r="A25" s="10"/>
      <c r="B25" s="10"/>
      <c r="C25" s="1"/>
      <c r="D25" s="1"/>
      <c r="E25" s="1"/>
      <c r="F25" s="67">
        <f>COUNTIF($M$11:$M$21,"&gt;0")-COUNTIF($M$11:$M$21,"&gt;=80")</f>
        <v>0</v>
      </c>
      <c r="G25" s="67">
        <f>COUNTIF($M$11:$M$21,"&gt;80")-COUNTIF($M$11:$M$21,"&gt;=250")</f>
        <v>0</v>
      </c>
      <c r="H25" s="310">
        <f>COUNTIF($M$11:$M$21,"&gt;250")-COUNTIF($M$11:$M$21,"&gt;=450")</f>
        <v>0</v>
      </c>
      <c r="I25" s="310"/>
      <c r="J25" s="310">
        <f>COUNTIF($M$11:$M$21,"&gt;450")</f>
        <v>0</v>
      </c>
      <c r="K25" s="310"/>
      <c r="L25" s="67">
        <f>SUM(F25:K25)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customFormat="1" ht="42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5" t="s">
        <v>95</v>
      </c>
      <c r="W26" s="1"/>
      <c r="X26" s="1"/>
    </row>
    <row r="27" spans="1:24" x14ac:dyDescent="0.2">
      <c r="C27" s="63" t="s">
        <v>29</v>
      </c>
      <c r="D27" s="60"/>
      <c r="E27" s="10"/>
      <c r="F27" s="10"/>
      <c r="G27" s="10"/>
      <c r="H27" s="10"/>
      <c r="I27" s="10"/>
      <c r="N27" s="10"/>
      <c r="O27" s="10"/>
      <c r="P27" s="10"/>
      <c r="Q27" s="10"/>
      <c r="R27" s="10"/>
      <c r="S27"/>
      <c r="T27"/>
      <c r="V27" s="62" t="s">
        <v>96</v>
      </c>
      <c r="W27" s="68"/>
      <c r="X27" s="68"/>
    </row>
  </sheetData>
  <autoFilter ref="E10:F21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E14" sqref="E14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1" sqref="D1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H25:I25"/>
    <mergeCell ref="J24:K24"/>
    <mergeCell ref="J25:K25"/>
    <mergeCell ref="F23:K23"/>
    <mergeCell ref="H8:I9"/>
    <mergeCell ref="L23:L24"/>
    <mergeCell ref="I3:K3"/>
    <mergeCell ref="I2:K2"/>
    <mergeCell ref="H24:I24"/>
    <mergeCell ref="C8:D8"/>
    <mergeCell ref="C4:E4"/>
    <mergeCell ref="H6:K6"/>
    <mergeCell ref="C5:E6"/>
    <mergeCell ref="C2:E2"/>
    <mergeCell ref="C3:E3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6"/>
  <sheetViews>
    <sheetView showGridLines="0" showZeros="0" workbookViewId="0">
      <pane xSplit="5" ySplit="10" topLeftCell="F14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"Shkurt"&amp;" "&amp;Shenime!H7</f>
        <v>Shkurt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09" t="s">
        <v>0</v>
      </c>
      <c r="D10" s="209" t="s">
        <v>4</v>
      </c>
      <c r="E10" s="224" t="s">
        <v>215</v>
      </c>
      <c r="F10" s="211" t="s">
        <v>10</v>
      </c>
      <c r="G10" s="211" t="s">
        <v>163</v>
      </c>
      <c r="H10" s="223" t="s">
        <v>105</v>
      </c>
      <c r="I10" s="223" t="s">
        <v>104</v>
      </c>
      <c r="J10" s="210" t="s">
        <v>11</v>
      </c>
      <c r="K10" s="210" t="s">
        <v>106</v>
      </c>
      <c r="L10" s="211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11" t="s">
        <v>164</v>
      </c>
      <c r="W10" s="211" t="s">
        <v>166</v>
      </c>
      <c r="X10" s="211" t="s">
        <v>165</v>
      </c>
    </row>
    <row r="11" spans="1:24" ht="21" customHeight="1" x14ac:dyDescent="0.2">
      <c r="A11" s="115">
        <f>Janar!F11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Janar!F12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Janar!F13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Janar!F14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Janar!F15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Janar!F16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Janar!F17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Janar!F18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Janar!F19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Janar!F21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L22:L23"/>
    <mergeCell ref="H23:I23"/>
    <mergeCell ref="J23:K23"/>
    <mergeCell ref="H24:I24"/>
    <mergeCell ref="J24:K24"/>
    <mergeCell ref="F22:K22"/>
    <mergeCell ref="C8:D8"/>
    <mergeCell ref="H8:I9"/>
    <mergeCell ref="I3:K3"/>
    <mergeCell ref="I2:K2"/>
    <mergeCell ref="C4:E4"/>
    <mergeCell ref="H6:K6"/>
    <mergeCell ref="C2:E2"/>
    <mergeCell ref="C3:E3"/>
    <mergeCell ref="C5:E6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6"/>
  <sheetViews>
    <sheetView showGridLines="0" showZeros="0" workbookViewId="0">
      <pane xSplit="5" ySplit="10" topLeftCell="F11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"Mars"&amp;" "&amp;Shenime!H7</f>
        <v>Mars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Shkurt!F11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Shkurt!F12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Shkurt!F13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Shkurt!F14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Shkurt!F15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Shkurt!F16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Shkurt!F17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Shkurt!F18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Shkurt!F19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Shkurt!F20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C4:E4"/>
    <mergeCell ref="H6:K6"/>
    <mergeCell ref="C2:E2"/>
    <mergeCell ref="C3:E3"/>
    <mergeCell ref="C5:E6"/>
    <mergeCell ref="H24:I24"/>
    <mergeCell ref="J24:K24"/>
    <mergeCell ref="I3:K3"/>
    <mergeCell ref="F22:K22"/>
    <mergeCell ref="I2:K2"/>
    <mergeCell ref="L22:L23"/>
    <mergeCell ref="H23:I23"/>
    <mergeCell ref="J23:K23"/>
    <mergeCell ref="C8:D8"/>
    <mergeCell ref="H8:I9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26"/>
  <sheetViews>
    <sheetView showGridLines="0" showZeros="0" workbookViewId="0">
      <pane xSplit="5" ySplit="10" topLeftCell="F11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"Prill"&amp;" "&amp;Shenime!H7</f>
        <v>Prill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Mars!F11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Mars!F12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Mars!F13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Mars!F14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Mars!F15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Mars!F16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Mars!F17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Mars!F18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Mars!F19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Mars!F20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E11" sqref="E1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I3:K3"/>
    <mergeCell ref="C8:D8"/>
    <mergeCell ref="F22:K22"/>
    <mergeCell ref="C5:E6"/>
    <mergeCell ref="I2:K2"/>
    <mergeCell ref="C4:E4"/>
    <mergeCell ref="H6:K6"/>
    <mergeCell ref="C2:E2"/>
    <mergeCell ref="C3:E3"/>
    <mergeCell ref="L22:L23"/>
    <mergeCell ref="H23:I23"/>
    <mergeCell ref="J23:K23"/>
    <mergeCell ref="H8:I9"/>
    <mergeCell ref="H24:I24"/>
    <mergeCell ref="J24:K24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6"/>
  <sheetViews>
    <sheetView showGridLines="0" showZeros="0" workbookViewId="0">
      <pane xSplit="5" ySplit="10" topLeftCell="F11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"Maj"&amp;" "&amp;Shenime!H7</f>
        <v>Maj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Prill!F11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Prill!F12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Prill!F13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Prill!F14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Prill!F15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Prill!F16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Prill!F17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Prill!F18</f>
        <v>0</v>
      </c>
      <c r="C18" s="212">
        <v>8</v>
      </c>
      <c r="D18" s="213">
        <f>Shenime!C18</f>
        <v>0</v>
      </c>
      <c r="E18" s="214"/>
      <c r="F18" s="215">
        <v>0</v>
      </c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Prill!F19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Prill!F20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D11" sqref="D1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I3:K3"/>
    <mergeCell ref="C8:D8"/>
    <mergeCell ref="F22:K22"/>
    <mergeCell ref="C5:E6"/>
    <mergeCell ref="I2:K2"/>
    <mergeCell ref="C4:E4"/>
    <mergeCell ref="H6:K6"/>
    <mergeCell ref="C2:E2"/>
    <mergeCell ref="C3:E3"/>
    <mergeCell ref="L22:L23"/>
    <mergeCell ref="H23:I23"/>
    <mergeCell ref="J23:K23"/>
    <mergeCell ref="H8:I9"/>
    <mergeCell ref="H24:I24"/>
    <mergeCell ref="J24:K24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26"/>
  <sheetViews>
    <sheetView showGridLines="0" showZeros="0" workbookViewId="0">
      <pane xSplit="5" ySplit="10" topLeftCell="F14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"Qershor"&amp;" "&amp;Shenime!H7</f>
        <v>Qershor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Maj!F11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Maj!F12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Maj!F13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Maj!F14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Maj!F15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Maj!F16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Maj!F17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Maj!F18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Maj!F19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Maj!F20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C8:D8"/>
    <mergeCell ref="C4:E4"/>
    <mergeCell ref="H6:K6"/>
    <mergeCell ref="C2:E2"/>
    <mergeCell ref="C3:E3"/>
    <mergeCell ref="C5:E6"/>
    <mergeCell ref="I2:K2"/>
    <mergeCell ref="L22:L23"/>
    <mergeCell ref="H23:I23"/>
    <mergeCell ref="J23:K23"/>
    <mergeCell ref="I3:K3"/>
    <mergeCell ref="J24:K24"/>
    <mergeCell ref="F22:K22"/>
    <mergeCell ref="H24:I24"/>
    <mergeCell ref="H8:I9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26"/>
  <sheetViews>
    <sheetView showGridLines="0" showZeros="0" workbookViewId="0">
      <pane xSplit="5" ySplit="10" topLeftCell="F11" activePane="bottomRight" state="frozen"/>
      <selection activeCell="D29" sqref="D29"/>
      <selection pane="topRight" activeCell="D29" sqref="D29"/>
      <selection pane="bottomLeft" activeCell="D29" sqref="D29"/>
      <selection pane="bottomRight" activeCell="D1" sqref="D1"/>
    </sheetView>
  </sheetViews>
  <sheetFormatPr defaultRowHeight="12.75" x14ac:dyDescent="0.2"/>
  <cols>
    <col min="1" max="1" width="9.7109375" style="1" customWidth="1"/>
    <col min="2" max="2" width="1.7109375" style="1" customWidth="1"/>
    <col min="3" max="3" width="5.7109375" style="1" customWidth="1"/>
    <col min="4" max="4" width="19.7109375" style="1" customWidth="1"/>
    <col min="5" max="5" width="7.7109375" style="1" customWidth="1"/>
    <col min="6" max="7" width="12" style="1" customWidth="1"/>
    <col min="8" max="9" width="7.7109375" style="1" customWidth="1"/>
    <col min="10" max="11" width="10.7109375" style="1" customWidth="1"/>
    <col min="12" max="13" width="12" style="1" customWidth="1"/>
    <col min="14" max="20" width="12.7109375" style="1" hidden="1" customWidth="1"/>
    <col min="21" max="24" width="12" style="1" customWidth="1"/>
    <col min="25" max="16384" width="9.140625" style="1"/>
  </cols>
  <sheetData>
    <row r="1" spans="1:24" ht="15" customHeight="1" x14ac:dyDescent="0.2">
      <c r="D1" s="8" t="s">
        <v>14</v>
      </c>
      <c r="F1" s="4"/>
      <c r="G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">
      <c r="C2" s="307" t="str">
        <f>Shenime!D3</f>
        <v>ASTRONIK</v>
      </c>
      <c r="D2" s="308"/>
      <c r="E2" s="309"/>
      <c r="F2" s="4"/>
      <c r="G2" s="4"/>
      <c r="H2" s="159" t="s">
        <v>137</v>
      </c>
      <c r="I2" s="296" t="str">
        <f>Shenime!G3</f>
        <v>ProCredit Bank</v>
      </c>
      <c r="J2" s="297"/>
      <c r="K2" s="29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C3" s="296" t="str">
        <f>Shenime!D4</f>
        <v>80258348/600456645</v>
      </c>
      <c r="D3" s="297"/>
      <c r="E3" s="298"/>
      <c r="F3" s="4"/>
      <c r="G3" s="4"/>
      <c r="H3" s="159" t="s">
        <v>136</v>
      </c>
      <c r="I3" s="296" t="str">
        <f>Shenime!G4</f>
        <v>000125412452</v>
      </c>
      <c r="J3" s="297"/>
      <c r="K3" s="298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2">
      <c r="C4" s="296" t="str">
        <f>"Tel: "&amp;Shenime!D5</f>
        <v>Tel: 044/443-200</v>
      </c>
      <c r="D4" s="297"/>
      <c r="E4" s="298"/>
      <c r="F4" s="5"/>
      <c r="G4" s="5"/>
      <c r="H4" s="5"/>
      <c r="I4" s="5"/>
      <c r="J4" s="5"/>
      <c r="K4" s="5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C5" s="304" t="str">
        <f>Shenime!D6</f>
        <v>MALISHEVË</v>
      </c>
      <c r="D5" s="305"/>
      <c r="E5" s="306"/>
      <c r="H5" s="101" t="s">
        <v>141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" customHeight="1" x14ac:dyDescent="0.2">
      <c r="C6" s="304"/>
      <c r="D6" s="305"/>
      <c r="E6" s="306"/>
      <c r="F6" s="5"/>
      <c r="G6" s="5"/>
      <c r="H6" s="301" t="str">
        <f>Shenime!D7</f>
        <v>Blerim Morina</v>
      </c>
      <c r="I6" s="302"/>
      <c r="J6" s="302"/>
      <c r="K6" s="303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" customHeight="1" x14ac:dyDescent="0.25">
      <c r="C7" s="222" t="s">
        <v>216</v>
      </c>
      <c r="D7" s="2"/>
      <c r="E7" s="2"/>
      <c r="F7" s="2"/>
      <c r="G7" s="2"/>
      <c r="H7" s="2"/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3">
      <c r="A8" s="116">
        <f>SUBTOTAL(9,A11:A20)</f>
        <v>0</v>
      </c>
      <c r="C8" s="299" t="str">
        <f>"Korrik"&amp;" "&amp;Shenime!H7</f>
        <v>Korrik 2019</v>
      </c>
      <c r="D8" s="300"/>
      <c r="F8" s="132">
        <f>SUBTOTAL(9,F11:F20)</f>
        <v>0</v>
      </c>
      <c r="G8" s="132">
        <f>SUBTOTAL(9,G11:G20)</f>
        <v>0</v>
      </c>
      <c r="H8" s="312" t="s">
        <v>12</v>
      </c>
      <c r="I8" s="312"/>
      <c r="J8" s="132">
        <f t="shared" ref="J8:X8" si="0">SUBTOTAL(9,J11:J20)</f>
        <v>0</v>
      </c>
      <c r="K8" s="132">
        <f t="shared" si="0"/>
        <v>0</v>
      </c>
      <c r="L8" s="123">
        <f t="shared" si="0"/>
        <v>0</v>
      </c>
      <c r="M8" s="132">
        <f t="shared" si="0"/>
        <v>0</v>
      </c>
      <c r="N8" s="132">
        <f t="shared" si="0"/>
        <v>0</v>
      </c>
      <c r="O8" s="132">
        <f t="shared" si="0"/>
        <v>0</v>
      </c>
      <c r="P8" s="132">
        <f t="shared" si="0"/>
        <v>0</v>
      </c>
      <c r="Q8" s="132">
        <f t="shared" si="0"/>
        <v>0</v>
      </c>
      <c r="R8" s="132">
        <f t="shared" si="0"/>
        <v>0</v>
      </c>
      <c r="S8" s="132">
        <f t="shared" si="0"/>
        <v>0</v>
      </c>
      <c r="T8" s="132">
        <f t="shared" si="0"/>
        <v>0</v>
      </c>
      <c r="U8" s="123">
        <f t="shared" si="0"/>
        <v>0</v>
      </c>
      <c r="V8" s="132">
        <f t="shared" si="0"/>
        <v>0</v>
      </c>
      <c r="W8" s="123">
        <f t="shared" si="0"/>
        <v>0</v>
      </c>
      <c r="X8" s="132">
        <f t="shared" si="0"/>
        <v>0</v>
      </c>
    </row>
    <row r="9" spans="1:24" ht="4.5" customHeight="1" x14ac:dyDescent="0.2">
      <c r="H9" s="313"/>
      <c r="I9" s="313"/>
    </row>
    <row r="10" spans="1:24" ht="39" customHeight="1" x14ac:dyDescent="0.2">
      <c r="A10" s="230" t="s">
        <v>183</v>
      </c>
      <c r="C10" s="225" t="s">
        <v>0</v>
      </c>
      <c r="D10" s="225" t="s">
        <v>4</v>
      </c>
      <c r="E10" s="226" t="s">
        <v>215</v>
      </c>
      <c r="F10" s="227" t="s">
        <v>10</v>
      </c>
      <c r="G10" s="227" t="s">
        <v>163</v>
      </c>
      <c r="H10" s="228" t="s">
        <v>105</v>
      </c>
      <c r="I10" s="228" t="s">
        <v>104</v>
      </c>
      <c r="J10" s="229" t="s">
        <v>11</v>
      </c>
      <c r="K10" s="229" t="s">
        <v>106</v>
      </c>
      <c r="L10" s="227" t="s">
        <v>9</v>
      </c>
      <c r="M10" s="211" t="s">
        <v>1</v>
      </c>
      <c r="N10" s="211" t="s">
        <v>7</v>
      </c>
      <c r="O10" s="211" t="s">
        <v>8</v>
      </c>
      <c r="P10" s="211" t="s">
        <v>5</v>
      </c>
      <c r="Q10" s="211" t="s">
        <v>6</v>
      </c>
      <c r="R10" s="211" t="s">
        <v>218</v>
      </c>
      <c r="S10" s="211" t="s">
        <v>219</v>
      </c>
      <c r="T10" s="211" t="s">
        <v>2</v>
      </c>
      <c r="U10" s="211" t="s">
        <v>3</v>
      </c>
      <c r="V10" s="227" t="s">
        <v>164</v>
      </c>
      <c r="W10" s="227" t="s">
        <v>166</v>
      </c>
      <c r="X10" s="227" t="s">
        <v>165</v>
      </c>
    </row>
    <row r="11" spans="1:24" ht="21" customHeight="1" x14ac:dyDescent="0.2">
      <c r="A11" s="115">
        <f>Qershor!F11</f>
        <v>0</v>
      </c>
      <c r="B11" s="114"/>
      <c r="C11" s="212">
        <v>1</v>
      </c>
      <c r="D11" s="213" t="str">
        <f>Shenime!C11</f>
        <v>Albulena Morina</v>
      </c>
      <c r="E11" s="214"/>
      <c r="F11" s="215"/>
      <c r="G11" s="216"/>
      <c r="H11" s="217">
        <v>0.05</v>
      </c>
      <c r="I11" s="217">
        <v>0.05</v>
      </c>
      <c r="J11" s="218">
        <f>F11*H11</f>
        <v>0</v>
      </c>
      <c r="K11" s="219">
        <f>F11*I11</f>
        <v>0</v>
      </c>
      <c r="L11" s="220">
        <f>J11+K11</f>
        <v>0</v>
      </c>
      <c r="M11" s="221">
        <f>F11-J11</f>
        <v>0</v>
      </c>
      <c r="N11" s="221">
        <f>IF(M11&lt;=80,M11,80)*IF(E11=2,0,1)</f>
        <v>0</v>
      </c>
      <c r="O11" s="221">
        <f>IF(N11=80,IF(M11-N11&lt;=170,M11-N11,170),0)*IF(E11=2,0,1)</f>
        <v>0</v>
      </c>
      <c r="P11" s="221">
        <f>IF(O11=170,IF(M11-N11-O11&lt;=200,M11-N11-O11,200),0)*IF(E11=2,0,1)</f>
        <v>0</v>
      </c>
      <c r="Q11" s="221">
        <f>IF(E11=2,M11,IF(P11=200,M11-N11-O11-P11,0))</f>
        <v>0</v>
      </c>
      <c r="R11" s="221">
        <f>O11*0.04</f>
        <v>0</v>
      </c>
      <c r="S11" s="221">
        <f>P11*0.08</f>
        <v>0</v>
      </c>
      <c r="T11" s="221">
        <f>Q11*0.1</f>
        <v>0</v>
      </c>
      <c r="U11" s="220">
        <f>R11+S11+T11</f>
        <v>0</v>
      </c>
      <c r="V11" s="221">
        <f>M11-U11</f>
        <v>0</v>
      </c>
      <c r="W11" s="220">
        <f>G11</f>
        <v>0</v>
      </c>
      <c r="X11" s="221">
        <f>V11-W11</f>
        <v>0</v>
      </c>
    </row>
    <row r="12" spans="1:24" ht="21" customHeight="1" x14ac:dyDescent="0.2">
      <c r="A12" s="115">
        <f>Qershor!F12</f>
        <v>0</v>
      </c>
      <c r="B12" s="114"/>
      <c r="C12" s="212">
        <v>2</v>
      </c>
      <c r="D12" s="213">
        <f>Shenime!C12</f>
        <v>0</v>
      </c>
      <c r="E12" s="214"/>
      <c r="F12" s="215"/>
      <c r="G12" s="216"/>
      <c r="H12" s="217">
        <v>0.05</v>
      </c>
      <c r="I12" s="217">
        <v>0.05</v>
      </c>
      <c r="J12" s="218">
        <f t="shared" ref="J12:J20" si="1">F12*H12</f>
        <v>0</v>
      </c>
      <c r="K12" s="219">
        <f t="shared" ref="K12:K20" si="2">F12*I12</f>
        <v>0</v>
      </c>
      <c r="L12" s="220">
        <f t="shared" ref="L12:L20" si="3">J12+K12</f>
        <v>0</v>
      </c>
      <c r="M12" s="221">
        <f t="shared" ref="M12:M20" si="4">F12-J12</f>
        <v>0</v>
      </c>
      <c r="N12" s="221">
        <f t="shared" ref="N12:N20" si="5">IF(M12&lt;=80,M12,80)*IF(E12=2,0,1)</f>
        <v>0</v>
      </c>
      <c r="O12" s="221">
        <f t="shared" ref="O12:O20" si="6">IF(N12=80,IF(M12-N12&lt;=170,M12-N12,170),0)*IF(E12=2,0,1)</f>
        <v>0</v>
      </c>
      <c r="P12" s="221">
        <f t="shared" ref="P12:P20" si="7">IF(O12=170,IF(M12-N12-O12&lt;=200,M12-N12-O12,200),0)*IF(E12=2,0,1)</f>
        <v>0</v>
      </c>
      <c r="Q12" s="221">
        <f t="shared" ref="Q12:Q20" si="8">IF(E12=2,M12,IF(P12=200,M12-N12-O12-P12,0))</f>
        <v>0</v>
      </c>
      <c r="R12" s="221">
        <f t="shared" ref="R12:R20" si="9">O12*0.04</f>
        <v>0</v>
      </c>
      <c r="S12" s="221">
        <f t="shared" ref="S12:S20" si="10">P12*0.08</f>
        <v>0</v>
      </c>
      <c r="T12" s="221">
        <f t="shared" ref="T12:T20" si="11">Q12*0.1</f>
        <v>0</v>
      </c>
      <c r="U12" s="220">
        <f t="shared" ref="U12:U20" si="12">R12+S12+T12</f>
        <v>0</v>
      </c>
      <c r="V12" s="221">
        <f t="shared" ref="V12:V20" si="13">M12-U12</f>
        <v>0</v>
      </c>
      <c r="W12" s="220">
        <f t="shared" ref="W12:W20" si="14">G12</f>
        <v>0</v>
      </c>
      <c r="X12" s="221">
        <f t="shared" ref="X12:X20" si="15">V12-W12</f>
        <v>0</v>
      </c>
    </row>
    <row r="13" spans="1:24" ht="21" customHeight="1" x14ac:dyDescent="0.2">
      <c r="A13" s="115">
        <f>Qershor!F13</f>
        <v>0</v>
      </c>
      <c r="C13" s="212">
        <v>3</v>
      </c>
      <c r="D13" s="213">
        <f>Shenime!C13</f>
        <v>0</v>
      </c>
      <c r="E13" s="214"/>
      <c r="F13" s="215"/>
      <c r="G13" s="216"/>
      <c r="H13" s="217">
        <v>0.05</v>
      </c>
      <c r="I13" s="217">
        <v>0.05</v>
      </c>
      <c r="J13" s="218">
        <f t="shared" si="1"/>
        <v>0</v>
      </c>
      <c r="K13" s="219">
        <f t="shared" si="2"/>
        <v>0</v>
      </c>
      <c r="L13" s="220">
        <f t="shared" si="3"/>
        <v>0</v>
      </c>
      <c r="M13" s="221">
        <f t="shared" si="4"/>
        <v>0</v>
      </c>
      <c r="N13" s="221">
        <f t="shared" si="5"/>
        <v>0</v>
      </c>
      <c r="O13" s="221">
        <f t="shared" si="6"/>
        <v>0</v>
      </c>
      <c r="P13" s="221">
        <f t="shared" si="7"/>
        <v>0</v>
      </c>
      <c r="Q13" s="221">
        <f t="shared" si="8"/>
        <v>0</v>
      </c>
      <c r="R13" s="221">
        <f t="shared" si="9"/>
        <v>0</v>
      </c>
      <c r="S13" s="221">
        <f t="shared" si="10"/>
        <v>0</v>
      </c>
      <c r="T13" s="221">
        <f t="shared" si="11"/>
        <v>0</v>
      </c>
      <c r="U13" s="220">
        <f t="shared" si="12"/>
        <v>0</v>
      </c>
      <c r="V13" s="221">
        <f t="shared" si="13"/>
        <v>0</v>
      </c>
      <c r="W13" s="220">
        <f t="shared" si="14"/>
        <v>0</v>
      </c>
      <c r="X13" s="221">
        <f t="shared" si="15"/>
        <v>0</v>
      </c>
    </row>
    <row r="14" spans="1:24" ht="21" customHeight="1" x14ac:dyDescent="0.2">
      <c r="A14" s="115">
        <f>Qershor!F14</f>
        <v>0</v>
      </c>
      <c r="C14" s="212">
        <v>4</v>
      </c>
      <c r="D14" s="213">
        <f>Shenime!C14</f>
        <v>0</v>
      </c>
      <c r="E14" s="214"/>
      <c r="F14" s="215"/>
      <c r="G14" s="216"/>
      <c r="H14" s="217">
        <v>0.05</v>
      </c>
      <c r="I14" s="217">
        <v>0.05</v>
      </c>
      <c r="J14" s="218">
        <f t="shared" si="1"/>
        <v>0</v>
      </c>
      <c r="K14" s="219">
        <f t="shared" si="2"/>
        <v>0</v>
      </c>
      <c r="L14" s="220">
        <f t="shared" si="3"/>
        <v>0</v>
      </c>
      <c r="M14" s="221">
        <f t="shared" si="4"/>
        <v>0</v>
      </c>
      <c r="N14" s="221">
        <f t="shared" si="5"/>
        <v>0</v>
      </c>
      <c r="O14" s="221">
        <f t="shared" si="6"/>
        <v>0</v>
      </c>
      <c r="P14" s="221">
        <f t="shared" si="7"/>
        <v>0</v>
      </c>
      <c r="Q14" s="221">
        <f t="shared" si="8"/>
        <v>0</v>
      </c>
      <c r="R14" s="221">
        <f t="shared" si="9"/>
        <v>0</v>
      </c>
      <c r="S14" s="221">
        <f t="shared" si="10"/>
        <v>0</v>
      </c>
      <c r="T14" s="221">
        <f t="shared" si="11"/>
        <v>0</v>
      </c>
      <c r="U14" s="220">
        <f t="shared" si="12"/>
        <v>0</v>
      </c>
      <c r="V14" s="221">
        <f t="shared" si="13"/>
        <v>0</v>
      </c>
      <c r="W14" s="220">
        <f t="shared" si="14"/>
        <v>0</v>
      </c>
      <c r="X14" s="221">
        <f t="shared" si="15"/>
        <v>0</v>
      </c>
    </row>
    <row r="15" spans="1:24" ht="21" customHeight="1" x14ac:dyDescent="0.2">
      <c r="A15" s="115">
        <f>Qershor!F15</f>
        <v>0</v>
      </c>
      <c r="C15" s="212">
        <v>5</v>
      </c>
      <c r="D15" s="213">
        <f>Shenime!C15</f>
        <v>0</v>
      </c>
      <c r="E15" s="214"/>
      <c r="F15" s="215"/>
      <c r="G15" s="216"/>
      <c r="H15" s="217">
        <v>0.05</v>
      </c>
      <c r="I15" s="217">
        <v>0.05</v>
      </c>
      <c r="J15" s="218">
        <f t="shared" si="1"/>
        <v>0</v>
      </c>
      <c r="K15" s="219">
        <f t="shared" si="2"/>
        <v>0</v>
      </c>
      <c r="L15" s="220">
        <f t="shared" si="3"/>
        <v>0</v>
      </c>
      <c r="M15" s="221">
        <f t="shared" si="4"/>
        <v>0</v>
      </c>
      <c r="N15" s="221">
        <f t="shared" si="5"/>
        <v>0</v>
      </c>
      <c r="O15" s="221">
        <f t="shared" si="6"/>
        <v>0</v>
      </c>
      <c r="P15" s="221">
        <f t="shared" si="7"/>
        <v>0</v>
      </c>
      <c r="Q15" s="221">
        <f t="shared" si="8"/>
        <v>0</v>
      </c>
      <c r="R15" s="221">
        <f t="shared" si="9"/>
        <v>0</v>
      </c>
      <c r="S15" s="221">
        <f t="shared" si="10"/>
        <v>0</v>
      </c>
      <c r="T15" s="221">
        <f t="shared" si="11"/>
        <v>0</v>
      </c>
      <c r="U15" s="220">
        <f t="shared" si="12"/>
        <v>0</v>
      </c>
      <c r="V15" s="221">
        <f t="shared" si="13"/>
        <v>0</v>
      </c>
      <c r="W15" s="220">
        <f t="shared" si="14"/>
        <v>0</v>
      </c>
      <c r="X15" s="221">
        <f t="shared" si="15"/>
        <v>0</v>
      </c>
    </row>
    <row r="16" spans="1:24" ht="21" customHeight="1" x14ac:dyDescent="0.2">
      <c r="A16" s="115">
        <f>Qershor!F16</f>
        <v>0</v>
      </c>
      <c r="C16" s="212">
        <v>6</v>
      </c>
      <c r="D16" s="213">
        <f>Shenime!C16</f>
        <v>0</v>
      </c>
      <c r="E16" s="214"/>
      <c r="F16" s="215"/>
      <c r="G16" s="216"/>
      <c r="H16" s="217">
        <v>0.05</v>
      </c>
      <c r="I16" s="217">
        <v>0.05</v>
      </c>
      <c r="J16" s="218">
        <f t="shared" si="1"/>
        <v>0</v>
      </c>
      <c r="K16" s="219">
        <f t="shared" si="2"/>
        <v>0</v>
      </c>
      <c r="L16" s="220">
        <f t="shared" si="3"/>
        <v>0</v>
      </c>
      <c r="M16" s="221">
        <f t="shared" si="4"/>
        <v>0</v>
      </c>
      <c r="N16" s="221">
        <f t="shared" si="5"/>
        <v>0</v>
      </c>
      <c r="O16" s="221">
        <f t="shared" si="6"/>
        <v>0</v>
      </c>
      <c r="P16" s="221">
        <f t="shared" si="7"/>
        <v>0</v>
      </c>
      <c r="Q16" s="221">
        <f t="shared" si="8"/>
        <v>0</v>
      </c>
      <c r="R16" s="221">
        <f t="shared" si="9"/>
        <v>0</v>
      </c>
      <c r="S16" s="221">
        <f t="shared" si="10"/>
        <v>0</v>
      </c>
      <c r="T16" s="221">
        <f t="shared" si="11"/>
        <v>0</v>
      </c>
      <c r="U16" s="220">
        <f t="shared" si="12"/>
        <v>0</v>
      </c>
      <c r="V16" s="221">
        <f t="shared" si="13"/>
        <v>0</v>
      </c>
      <c r="W16" s="220">
        <f t="shared" si="14"/>
        <v>0</v>
      </c>
      <c r="X16" s="221">
        <f t="shared" si="15"/>
        <v>0</v>
      </c>
    </row>
    <row r="17" spans="1:24" ht="21" customHeight="1" x14ac:dyDescent="0.2">
      <c r="A17" s="115">
        <f>Qershor!F17</f>
        <v>0</v>
      </c>
      <c r="C17" s="212">
        <v>7</v>
      </c>
      <c r="D17" s="213">
        <f>Shenime!C17</f>
        <v>0</v>
      </c>
      <c r="E17" s="214"/>
      <c r="F17" s="215"/>
      <c r="G17" s="216"/>
      <c r="H17" s="217">
        <v>0.05</v>
      </c>
      <c r="I17" s="217">
        <v>0.05</v>
      </c>
      <c r="J17" s="218">
        <f t="shared" si="1"/>
        <v>0</v>
      </c>
      <c r="K17" s="219">
        <f t="shared" si="2"/>
        <v>0</v>
      </c>
      <c r="L17" s="220">
        <f t="shared" si="3"/>
        <v>0</v>
      </c>
      <c r="M17" s="221">
        <f t="shared" si="4"/>
        <v>0</v>
      </c>
      <c r="N17" s="221">
        <f t="shared" si="5"/>
        <v>0</v>
      </c>
      <c r="O17" s="221">
        <f t="shared" si="6"/>
        <v>0</v>
      </c>
      <c r="P17" s="221">
        <f t="shared" si="7"/>
        <v>0</v>
      </c>
      <c r="Q17" s="221">
        <f t="shared" si="8"/>
        <v>0</v>
      </c>
      <c r="R17" s="221">
        <f t="shared" si="9"/>
        <v>0</v>
      </c>
      <c r="S17" s="221">
        <f t="shared" si="10"/>
        <v>0</v>
      </c>
      <c r="T17" s="221">
        <f t="shared" si="11"/>
        <v>0</v>
      </c>
      <c r="U17" s="220">
        <f t="shared" si="12"/>
        <v>0</v>
      </c>
      <c r="V17" s="221">
        <f t="shared" si="13"/>
        <v>0</v>
      </c>
      <c r="W17" s="220">
        <f t="shared" si="14"/>
        <v>0</v>
      </c>
      <c r="X17" s="221">
        <f t="shared" si="15"/>
        <v>0</v>
      </c>
    </row>
    <row r="18" spans="1:24" ht="21" customHeight="1" x14ac:dyDescent="0.2">
      <c r="A18" s="115">
        <f>Qershor!F18</f>
        <v>0</v>
      </c>
      <c r="C18" s="212">
        <v>8</v>
      </c>
      <c r="D18" s="213">
        <f>Shenime!C18</f>
        <v>0</v>
      </c>
      <c r="E18" s="214"/>
      <c r="F18" s="215"/>
      <c r="G18" s="216"/>
      <c r="H18" s="217">
        <v>0.05</v>
      </c>
      <c r="I18" s="217">
        <v>0.05</v>
      </c>
      <c r="J18" s="218">
        <f t="shared" si="1"/>
        <v>0</v>
      </c>
      <c r="K18" s="219">
        <f t="shared" si="2"/>
        <v>0</v>
      </c>
      <c r="L18" s="220">
        <f t="shared" si="3"/>
        <v>0</v>
      </c>
      <c r="M18" s="221">
        <f t="shared" si="4"/>
        <v>0</v>
      </c>
      <c r="N18" s="221">
        <f t="shared" si="5"/>
        <v>0</v>
      </c>
      <c r="O18" s="221">
        <f t="shared" si="6"/>
        <v>0</v>
      </c>
      <c r="P18" s="221">
        <f t="shared" si="7"/>
        <v>0</v>
      </c>
      <c r="Q18" s="221">
        <f t="shared" si="8"/>
        <v>0</v>
      </c>
      <c r="R18" s="221">
        <f t="shared" si="9"/>
        <v>0</v>
      </c>
      <c r="S18" s="221">
        <f t="shared" si="10"/>
        <v>0</v>
      </c>
      <c r="T18" s="221">
        <f t="shared" si="11"/>
        <v>0</v>
      </c>
      <c r="U18" s="220">
        <f t="shared" si="12"/>
        <v>0</v>
      </c>
      <c r="V18" s="221">
        <f t="shared" si="13"/>
        <v>0</v>
      </c>
      <c r="W18" s="220">
        <f t="shared" si="14"/>
        <v>0</v>
      </c>
      <c r="X18" s="221">
        <f t="shared" si="15"/>
        <v>0</v>
      </c>
    </row>
    <row r="19" spans="1:24" ht="21" customHeight="1" x14ac:dyDescent="0.2">
      <c r="A19" s="115">
        <f>Qershor!F19</f>
        <v>0</v>
      </c>
      <c r="C19" s="212">
        <v>9</v>
      </c>
      <c r="D19" s="213">
        <f>Shenime!C19</f>
        <v>0</v>
      </c>
      <c r="E19" s="214"/>
      <c r="F19" s="215"/>
      <c r="G19" s="216"/>
      <c r="H19" s="217">
        <v>0.05</v>
      </c>
      <c r="I19" s="217">
        <v>0.05</v>
      </c>
      <c r="J19" s="218">
        <f t="shared" si="1"/>
        <v>0</v>
      </c>
      <c r="K19" s="219">
        <f t="shared" si="2"/>
        <v>0</v>
      </c>
      <c r="L19" s="220">
        <f t="shared" si="3"/>
        <v>0</v>
      </c>
      <c r="M19" s="221">
        <f t="shared" si="4"/>
        <v>0</v>
      </c>
      <c r="N19" s="221">
        <f t="shared" si="5"/>
        <v>0</v>
      </c>
      <c r="O19" s="221">
        <f t="shared" si="6"/>
        <v>0</v>
      </c>
      <c r="P19" s="221">
        <f t="shared" si="7"/>
        <v>0</v>
      </c>
      <c r="Q19" s="221">
        <f t="shared" si="8"/>
        <v>0</v>
      </c>
      <c r="R19" s="221">
        <f t="shared" si="9"/>
        <v>0</v>
      </c>
      <c r="S19" s="221">
        <f t="shared" si="10"/>
        <v>0</v>
      </c>
      <c r="T19" s="221">
        <f t="shared" si="11"/>
        <v>0</v>
      </c>
      <c r="U19" s="220">
        <f t="shared" si="12"/>
        <v>0</v>
      </c>
      <c r="V19" s="221">
        <f t="shared" si="13"/>
        <v>0</v>
      </c>
      <c r="W19" s="220">
        <f t="shared" si="14"/>
        <v>0</v>
      </c>
      <c r="X19" s="221">
        <f t="shared" si="15"/>
        <v>0</v>
      </c>
    </row>
    <row r="20" spans="1:24" ht="21" customHeight="1" x14ac:dyDescent="0.2">
      <c r="A20" s="115">
        <f>Qershor!F20</f>
        <v>0</v>
      </c>
      <c r="C20" s="212">
        <v>10</v>
      </c>
      <c r="D20" s="213">
        <f>Shenime!C20</f>
        <v>0</v>
      </c>
      <c r="E20" s="214"/>
      <c r="F20" s="215"/>
      <c r="G20" s="216"/>
      <c r="H20" s="217">
        <v>0.05</v>
      </c>
      <c r="I20" s="217">
        <v>0.05</v>
      </c>
      <c r="J20" s="218">
        <f t="shared" si="1"/>
        <v>0</v>
      </c>
      <c r="K20" s="219">
        <f t="shared" si="2"/>
        <v>0</v>
      </c>
      <c r="L20" s="220">
        <f t="shared" si="3"/>
        <v>0</v>
      </c>
      <c r="M20" s="221">
        <f t="shared" si="4"/>
        <v>0</v>
      </c>
      <c r="N20" s="221">
        <f t="shared" si="5"/>
        <v>0</v>
      </c>
      <c r="O20" s="221">
        <f t="shared" si="6"/>
        <v>0</v>
      </c>
      <c r="P20" s="221">
        <f t="shared" si="7"/>
        <v>0</v>
      </c>
      <c r="Q20" s="221">
        <f t="shared" si="8"/>
        <v>0</v>
      </c>
      <c r="R20" s="221">
        <f t="shared" si="9"/>
        <v>0</v>
      </c>
      <c r="S20" s="221">
        <f t="shared" si="10"/>
        <v>0</v>
      </c>
      <c r="T20" s="221">
        <f t="shared" si="11"/>
        <v>0</v>
      </c>
      <c r="U20" s="220">
        <f t="shared" si="12"/>
        <v>0</v>
      </c>
      <c r="V20" s="221">
        <f t="shared" si="13"/>
        <v>0</v>
      </c>
      <c r="W20" s="220">
        <f t="shared" si="14"/>
        <v>0</v>
      </c>
      <c r="X20" s="221">
        <f t="shared" si="15"/>
        <v>0</v>
      </c>
    </row>
    <row r="21" spans="1:24" ht="21" customHeight="1" x14ac:dyDescent="0.2"/>
    <row r="22" spans="1:24" ht="21" customHeight="1" x14ac:dyDescent="0.2">
      <c r="F22" s="311" t="s">
        <v>45</v>
      </c>
      <c r="G22" s="311"/>
      <c r="H22" s="311"/>
      <c r="I22" s="311"/>
      <c r="J22" s="311"/>
      <c r="K22" s="311"/>
      <c r="L22" s="295" t="s">
        <v>50</v>
      </c>
    </row>
    <row r="23" spans="1:24" ht="21" customHeight="1" x14ac:dyDescent="0.2">
      <c r="F23" s="66" t="s">
        <v>46</v>
      </c>
      <c r="G23" s="66" t="s">
        <v>47</v>
      </c>
      <c r="H23" s="295" t="s">
        <v>48</v>
      </c>
      <c r="I23" s="295"/>
      <c r="J23" s="295" t="s">
        <v>49</v>
      </c>
      <c r="K23" s="295"/>
      <c r="L23" s="295"/>
    </row>
    <row r="24" spans="1:24" ht="21" customHeight="1" x14ac:dyDescent="0.2">
      <c r="F24" s="67">
        <f>COUNTIF($M$11:$M$20,"&gt;0")-COUNTIF($M$11:$M$20,"&gt;=80")</f>
        <v>0</v>
      </c>
      <c r="G24" s="67">
        <f>COUNTIF($M$11:$M$20,"&gt;80")-COUNTIF($M$11:$M$20,"&gt;=250")</f>
        <v>0</v>
      </c>
      <c r="H24" s="310">
        <f>COUNTIF($M$11:$M$20,"&gt;250")-COUNTIF($M$11:$M$20,"&gt;=450")</f>
        <v>0</v>
      </c>
      <c r="I24" s="310"/>
      <c r="J24" s="310">
        <f>COUNTIF($M$11:$M$20,"&gt;450")</f>
        <v>0</v>
      </c>
      <c r="K24" s="310"/>
      <c r="L24" s="67">
        <f>SUM(F24:K24)</f>
        <v>0</v>
      </c>
    </row>
    <row r="25" spans="1:24" customForma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0"/>
      <c r="O25" s="10"/>
      <c r="P25" s="10"/>
      <c r="Q25" s="10"/>
      <c r="R25" s="10"/>
      <c r="U25" s="1"/>
      <c r="V25" s="65" t="s">
        <v>95</v>
      </c>
      <c r="W25" s="1"/>
      <c r="X25" s="1"/>
    </row>
    <row r="26" spans="1:24" customFormat="1" ht="42" customHeight="1" x14ac:dyDescent="0.2">
      <c r="A26" s="10"/>
      <c r="B26" s="10"/>
      <c r="C26" s="63" t="s">
        <v>29</v>
      </c>
      <c r="D26" s="60"/>
      <c r="E26" s="10"/>
      <c r="F26" s="10"/>
      <c r="G26" s="10"/>
      <c r="H26" s="10"/>
      <c r="I26" s="10"/>
      <c r="J26" s="1"/>
      <c r="K26" s="1"/>
      <c r="L26" s="1"/>
      <c r="M26" s="1"/>
      <c r="N26" s="10"/>
      <c r="O26" s="10"/>
      <c r="P26" s="10"/>
      <c r="Q26" s="10"/>
      <c r="R26" s="10"/>
      <c r="U26" s="1"/>
      <c r="V26" s="62" t="s">
        <v>96</v>
      </c>
      <c r="W26" s="68"/>
      <c r="X26" s="68"/>
    </row>
  </sheetData>
  <autoFilter ref="E10:F20"/>
  <customSheetViews>
    <customSheetView guid="{09AFD497-C868-4385-9AB3-7F1632F55388}" showGridLines="0" zeroValues="0" showAutoFilter="1" hiddenRows="1" hiddenColumns="1" showRuler="0">
      <pane xSplit="4" ySplit="10" topLeftCell="E11" activePane="bottomRight" state="frozen"/>
      <selection pane="bottomRight" activeCell="C1" sqref="C1"/>
      <pageMargins left="0.3" right="0.3" top="0.3" bottom="0.3" header="0.5" footer="0.5"/>
      <printOptions horizontalCentered="1"/>
      <pageSetup paperSize="9" scale="85" orientation="landscape" verticalDpi="0" r:id="rId1"/>
      <headerFooter alignWithMargins="0"/>
      <autoFilter ref="B1:C1"/>
    </customSheetView>
    <customSheetView guid="{CE29130D-F54B-4517-B637-01D908CB90D3}" showGridLines="0" zeroValues="0" showAutoFilter="1" hiddenColumns="1" showRuler="0">
      <pane xSplit="5" ySplit="10" topLeftCell="F11" activePane="bottomRight" state="frozen"/>
      <selection pane="bottomRight" activeCell="D1" sqref="D1"/>
      <pageMargins left="0.3" right="0.3" top="0.5" bottom="0.5" header="0.5" footer="0.5"/>
      <printOptions horizontalCentered="1"/>
      <pageSetup paperSize="9" scale="85" orientation="landscape" verticalDpi="0" r:id="rId2"/>
      <headerFooter alignWithMargins="0"/>
      <autoFilter ref="B1:C1"/>
    </customSheetView>
  </customSheetViews>
  <mergeCells count="15">
    <mergeCell ref="I3:K3"/>
    <mergeCell ref="C8:D8"/>
    <mergeCell ref="F22:K22"/>
    <mergeCell ref="C5:E6"/>
    <mergeCell ref="I2:K2"/>
    <mergeCell ref="C4:E4"/>
    <mergeCell ref="H6:K6"/>
    <mergeCell ref="C2:E2"/>
    <mergeCell ref="C3:E3"/>
    <mergeCell ref="L22:L23"/>
    <mergeCell ref="H23:I23"/>
    <mergeCell ref="J23:K23"/>
    <mergeCell ref="H8:I9"/>
    <mergeCell ref="H24:I24"/>
    <mergeCell ref="J24:K24"/>
  </mergeCells>
  <phoneticPr fontId="0" type="noConversion"/>
  <hyperlinks>
    <hyperlink ref="D1" location="Permbajtja!A1" display="Kthehu prapa"/>
  </hyperlinks>
  <printOptions horizontalCentered="1"/>
  <pageMargins left="0.3" right="0.3" top="0.5" bottom="0.5" header="0.5" footer="0.5"/>
  <pageSetup paperSize="9" scale="85" orientation="landscape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53</vt:i4>
      </vt:variant>
    </vt:vector>
  </HeadingPairs>
  <TitlesOfParts>
    <vt:vector size="77" baseType="lpstr">
      <vt:lpstr>Permbajtja</vt:lpstr>
      <vt:lpstr>Shenime</vt:lpstr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  <vt:lpstr>Fletepagesa</vt:lpstr>
      <vt:lpstr>Banka</vt:lpstr>
      <vt:lpstr>Raporti tremujor i kontributeve</vt:lpstr>
      <vt:lpstr>Taksat dhe klasifikimi i pagave</vt:lpstr>
      <vt:lpstr>Liste-Pagesa vjetore</vt:lpstr>
      <vt:lpstr>Libri i kontr. dhe tatimeve</vt:lpstr>
      <vt:lpstr>Certificate</vt:lpstr>
      <vt:lpstr>Shtese</vt:lpstr>
      <vt:lpstr>Ndihme</vt:lpstr>
      <vt:lpstr>Autori</vt:lpstr>
      <vt:lpstr>Dhjetor</vt:lpstr>
      <vt:lpstr>Gusht</vt:lpstr>
      <vt:lpstr>Janar</vt:lpstr>
      <vt:lpstr>Korrik</vt:lpstr>
      <vt:lpstr>Maj</vt:lpstr>
      <vt:lpstr>Mars</vt:lpstr>
      <vt:lpstr>Nentor</vt:lpstr>
      <vt:lpstr>Pagesa</vt:lpstr>
      <vt:lpstr>Personale</vt:lpstr>
      <vt:lpstr>Prill</vt:lpstr>
      <vt:lpstr>Banka!Print_Area</vt:lpstr>
      <vt:lpstr>Certificate!Print_Area</vt:lpstr>
      <vt:lpstr>Dhjetor!Print_Area</vt:lpstr>
      <vt:lpstr>Fletepagesa!Print_Area</vt:lpstr>
      <vt:lpstr>Gusht!Print_Area</vt:lpstr>
      <vt:lpstr>Janar!Print_Area</vt:lpstr>
      <vt:lpstr>Korrik!Print_Area</vt:lpstr>
      <vt:lpstr>'Libri i kontr. dhe tatimeve'!Print_Area</vt:lpstr>
      <vt:lpstr>'Liste-Pagesa vjetore'!Print_Area</vt:lpstr>
      <vt:lpstr>Maj!Print_Area</vt:lpstr>
      <vt:lpstr>Mars!Print_Area</vt:lpstr>
      <vt:lpstr>Ndihme!Print_Area</vt:lpstr>
      <vt:lpstr>Nentor!Print_Area</vt:lpstr>
      <vt:lpstr>Permbajtja!Print_Area</vt:lpstr>
      <vt:lpstr>Prill!Print_Area</vt:lpstr>
      <vt:lpstr>Qershor!Print_Area</vt:lpstr>
      <vt:lpstr>'Raporti tremujor i kontributeve'!Print_Area</vt:lpstr>
      <vt:lpstr>Shenime!Print_Area</vt:lpstr>
      <vt:lpstr>Shkurt!Print_Area</vt:lpstr>
      <vt:lpstr>Shtator!Print_Area</vt:lpstr>
      <vt:lpstr>'Taksat dhe klasifikimi i pagave'!Print_Area</vt:lpstr>
      <vt:lpstr>Tetor!Print_Area</vt:lpstr>
      <vt:lpstr>Banka!Print_Titles</vt:lpstr>
      <vt:lpstr>Dhjetor!Print_Titles</vt:lpstr>
      <vt:lpstr>Gusht!Print_Titles</vt:lpstr>
      <vt:lpstr>Janar!Print_Titles</vt:lpstr>
      <vt:lpstr>Korrik!Print_Titles</vt:lpstr>
      <vt:lpstr>'Liste-Pagesa vjetore'!Print_Titles</vt:lpstr>
      <vt:lpstr>Maj!Print_Titles</vt:lpstr>
      <vt:lpstr>Mars!Print_Titles</vt:lpstr>
      <vt:lpstr>Nentor!Print_Titles</vt:lpstr>
      <vt:lpstr>Prill!Print_Titles</vt:lpstr>
      <vt:lpstr>Qershor!Print_Titles</vt:lpstr>
      <vt:lpstr>'Raporti tremujor i kontributeve'!Print_Titles</vt:lpstr>
      <vt:lpstr>Shenime!Print_Titles</vt:lpstr>
      <vt:lpstr>Shkurt!Print_Titles</vt:lpstr>
      <vt:lpstr>Shtator!Print_Titles</vt:lpstr>
      <vt:lpstr>Tetor!Print_Titles</vt:lpstr>
      <vt:lpstr>Qershor</vt:lpstr>
      <vt:lpstr>Shkurt</vt:lpstr>
      <vt:lpstr>Shtator</vt:lpstr>
      <vt:lpstr>Tetor</vt:lpstr>
      <vt:lpstr>Vjetore</vt:lpstr>
    </vt:vector>
  </TitlesOfParts>
  <Company>Ask 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Programi i Pagave</dc:title>
  <dc:creator>Fisnik Hoxha</dc:creator>
  <cp:lastModifiedBy>Acer</cp:lastModifiedBy>
  <cp:lastPrinted>2012-12-12T12:56:33Z</cp:lastPrinted>
  <dcterms:created xsi:type="dcterms:W3CDTF">2005-07-07T19:19:01Z</dcterms:created>
  <dcterms:modified xsi:type="dcterms:W3CDTF">2019-02-21T21:10:11Z</dcterms:modified>
</cp:coreProperties>
</file>